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plpolska-my.sharepoint.com/personal/katarzyna_ostrowska_leasing_org_pl/Documents/Pulpit/"/>
    </mc:Choice>
  </mc:AlternateContent>
  <xr:revisionPtr revIDLastSave="7" documentId="8_{DE7C5BD7-C3E9-4090-9632-0ABB5DBC9DDB}" xr6:coauthVersionLast="47" xr6:coauthVersionMax="47" xr10:uidLastSave="{228CA248-AD95-4A50-B386-01D643C4DEAD}"/>
  <bookViews>
    <workbookView minimized="1" xWindow="4800" yWindow="790" windowWidth="14500" windowHeight="8750" activeTab="1" xr2:uid="{71ECBEB2-2687-4063-A597-2A60A7860EDA}"/>
  </bookViews>
  <sheets>
    <sheet name="summary_03 2026" sheetId="4" r:id="rId1"/>
    <sheet name="szacunek rynku_03 2026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_xlnm.Print_Area" localSheetId="1">'szacunek rynku_03 2026'!$A$2:$AH$86</definedName>
    <definedName name="v" localSheetId="0">#REF!</definedName>
    <definedName name="v" localSheetId="1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2" i="3" l="1"/>
  <c r="P30" i="3"/>
  <c r="N30" i="3"/>
  <c r="M30" i="3"/>
  <c r="C5" i="3"/>
  <c r="C7" i="3"/>
  <c r="D7" i="3"/>
  <c r="F7" i="3"/>
  <c r="J14" i="4" l="1"/>
  <c r="J15" i="4"/>
  <c r="H5" i="3"/>
  <c r="H7" i="3"/>
  <c r="I7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1" i="3"/>
  <c r="I21" i="3"/>
  <c r="H22" i="3"/>
  <c r="I22" i="3"/>
  <c r="H23" i="3"/>
  <c r="I23" i="3"/>
  <c r="H25" i="3"/>
  <c r="I25" i="3"/>
  <c r="H61" i="3"/>
  <c r="H62" i="3"/>
  <c r="I62" i="3"/>
  <c r="M108" i="3"/>
  <c r="N108" i="3"/>
  <c r="M109" i="3"/>
  <c r="N109" i="3"/>
  <c r="M110" i="3"/>
  <c r="N110" i="3"/>
  <c r="M111" i="3"/>
  <c r="N111" i="3"/>
  <c r="M112" i="3"/>
  <c r="N112" i="3"/>
  <c r="M113" i="3"/>
  <c r="N113" i="3"/>
  <c r="M114" i="3"/>
  <c r="N114" i="3"/>
  <c r="M115" i="3"/>
  <c r="N115" i="3"/>
  <c r="M116" i="3"/>
  <c r="N116" i="3"/>
  <c r="M117" i="3"/>
  <c r="N117" i="3"/>
  <c r="M118" i="3"/>
  <c r="N118" i="3"/>
  <c r="M119" i="3"/>
  <c r="N119" i="3"/>
  <c r="M120" i="3"/>
  <c r="N120" i="3"/>
  <c r="M121" i="3"/>
  <c r="N121" i="3"/>
  <c r="M122" i="3"/>
  <c r="N122" i="3"/>
  <c r="M124" i="3"/>
  <c r="N124" i="3"/>
  <c r="M125" i="3"/>
  <c r="N125" i="3"/>
  <c r="M126" i="3"/>
  <c r="N126" i="3"/>
  <c r="M128" i="3"/>
  <c r="N128" i="3"/>
  <c r="M129" i="3"/>
  <c r="N129" i="3"/>
  <c r="M130" i="3"/>
  <c r="N130" i="3"/>
  <c r="M134" i="3"/>
  <c r="N134" i="3"/>
  <c r="M135" i="3"/>
  <c r="N135" i="3"/>
  <c r="M136" i="3"/>
  <c r="N136" i="3"/>
  <c r="M137" i="3"/>
  <c r="N137" i="3"/>
  <c r="M138" i="3"/>
  <c r="N138" i="3"/>
  <c r="J16" i="4" l="1"/>
  <c r="K75" i="3"/>
  <c r="K74" i="3"/>
  <c r="K73" i="3"/>
  <c r="I133" i="3" l="1"/>
  <c r="H133" i="3"/>
  <c r="D133" i="3"/>
  <c r="C133" i="3"/>
  <c r="I131" i="3"/>
  <c r="H131" i="3"/>
  <c r="D131" i="3"/>
  <c r="N131" i="3" s="1"/>
  <c r="C131" i="3"/>
  <c r="M131" i="3" s="1"/>
  <c r="D127" i="3"/>
  <c r="C127" i="3"/>
  <c r="I127" i="3"/>
  <c r="H127" i="3"/>
  <c r="I123" i="3"/>
  <c r="H123" i="3"/>
  <c r="D123" i="3"/>
  <c r="C123" i="3"/>
  <c r="I107" i="3"/>
  <c r="H107" i="3"/>
  <c r="D107" i="3"/>
  <c r="N107" i="3" s="1"/>
  <c r="C107" i="3"/>
  <c r="M107" i="3" s="1"/>
  <c r="I106" i="3"/>
  <c r="H106" i="3"/>
  <c r="I105" i="3"/>
  <c r="H105" i="3"/>
  <c r="I104" i="3"/>
  <c r="H104" i="3"/>
  <c r="I103" i="3"/>
  <c r="H103" i="3"/>
  <c r="I102" i="3"/>
  <c r="H102" i="3"/>
  <c r="I101" i="3"/>
  <c r="H101" i="3"/>
  <c r="I100" i="3"/>
  <c r="H100" i="3"/>
  <c r="I99" i="3"/>
  <c r="H99" i="3"/>
  <c r="D106" i="3"/>
  <c r="N106" i="3" s="1"/>
  <c r="C106" i="3"/>
  <c r="D105" i="3"/>
  <c r="C105" i="3"/>
  <c r="D104" i="3"/>
  <c r="C104" i="3"/>
  <c r="D103" i="3"/>
  <c r="C103" i="3"/>
  <c r="D102" i="3"/>
  <c r="C102" i="3"/>
  <c r="M102" i="3" s="1"/>
  <c r="D101" i="3"/>
  <c r="N101" i="3" s="1"/>
  <c r="C101" i="3"/>
  <c r="M101" i="3" s="1"/>
  <c r="D100" i="3"/>
  <c r="N100" i="3" s="1"/>
  <c r="C100" i="3"/>
  <c r="D99" i="3"/>
  <c r="C99" i="3"/>
  <c r="I98" i="3"/>
  <c r="H98" i="3"/>
  <c r="D98" i="3"/>
  <c r="C98" i="3"/>
  <c r="M98" i="3" s="1"/>
  <c r="M100" i="3" l="1"/>
  <c r="M106" i="3"/>
  <c r="M104" i="3"/>
  <c r="N104" i="3"/>
  <c r="M99" i="3"/>
  <c r="M105" i="3"/>
  <c r="M133" i="3"/>
  <c r="N99" i="3"/>
  <c r="N105" i="3"/>
  <c r="N133" i="3"/>
  <c r="N102" i="3"/>
  <c r="M127" i="3"/>
  <c r="M103" i="3"/>
  <c r="M123" i="3"/>
  <c r="D132" i="3"/>
  <c r="N98" i="3"/>
  <c r="N127" i="3"/>
  <c r="N103" i="3"/>
  <c r="N123" i="3"/>
  <c r="H132" i="3"/>
  <c r="I132" i="3"/>
  <c r="C132" i="3"/>
  <c r="K25" i="3"/>
  <c r="K13" i="3"/>
  <c r="N29" i="3"/>
  <c r="M29" i="3"/>
  <c r="N27" i="3"/>
  <c r="F133" i="3" s="1"/>
  <c r="M27" i="3"/>
  <c r="K133" i="3" s="1"/>
  <c r="N25" i="3"/>
  <c r="M25" i="3"/>
  <c r="N23" i="3"/>
  <c r="M23" i="3"/>
  <c r="N22" i="3"/>
  <c r="M22" i="3"/>
  <c r="N21" i="3"/>
  <c r="M21" i="3"/>
  <c r="N20" i="3"/>
  <c r="M20" i="3"/>
  <c r="N19" i="3"/>
  <c r="M19" i="3"/>
  <c r="N18" i="3"/>
  <c r="M18" i="3"/>
  <c r="N17" i="3"/>
  <c r="M17" i="3"/>
  <c r="N16" i="3"/>
  <c r="M16" i="3"/>
  <c r="N15" i="3"/>
  <c r="M15" i="3"/>
  <c r="N14" i="3"/>
  <c r="M14" i="3"/>
  <c r="N13" i="3"/>
  <c r="M13" i="3"/>
  <c r="N12" i="3"/>
  <c r="M12" i="3"/>
  <c r="N11" i="3"/>
  <c r="M11" i="3"/>
  <c r="N10" i="3"/>
  <c r="M10" i="3"/>
  <c r="N9" i="3"/>
  <c r="M9" i="3"/>
  <c r="N8" i="3"/>
  <c r="M8" i="3"/>
  <c r="D25" i="3"/>
  <c r="C25" i="3"/>
  <c r="D23" i="3"/>
  <c r="C23" i="3"/>
  <c r="D22" i="3"/>
  <c r="C22" i="3"/>
  <c r="D21" i="3"/>
  <c r="C21" i="3"/>
  <c r="D20" i="3"/>
  <c r="C20" i="3"/>
  <c r="D19" i="3"/>
  <c r="C19" i="3"/>
  <c r="D18" i="3"/>
  <c r="C18" i="3"/>
  <c r="D17" i="3"/>
  <c r="C17" i="3"/>
  <c r="D16" i="3"/>
  <c r="C16" i="3"/>
  <c r="D15" i="3"/>
  <c r="C15" i="3"/>
  <c r="D14" i="3"/>
  <c r="C14" i="3"/>
  <c r="D13" i="3"/>
  <c r="C13" i="3"/>
  <c r="D12" i="3"/>
  <c r="C12" i="3"/>
  <c r="D11" i="3"/>
  <c r="C11" i="3"/>
  <c r="D10" i="3"/>
  <c r="C10" i="3"/>
  <c r="D9" i="3"/>
  <c r="C9" i="3"/>
  <c r="D8" i="3"/>
  <c r="C8" i="3"/>
  <c r="P84" i="3"/>
  <c r="P82" i="3"/>
  <c r="P80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F80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K48" i="3"/>
  <c r="K47" i="3"/>
  <c r="K46" i="3"/>
  <c r="P57" i="3"/>
  <c r="P55" i="3"/>
  <c r="P53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F48" i="3"/>
  <c r="F47" i="3"/>
  <c r="F46" i="3"/>
  <c r="P18" i="3" l="1"/>
  <c r="P13" i="3"/>
  <c r="P25" i="3"/>
  <c r="F23" i="3"/>
  <c r="C139" i="3"/>
  <c r="M132" i="3"/>
  <c r="D139" i="3"/>
  <c r="N132" i="3"/>
  <c r="P12" i="3"/>
  <c r="P19" i="3"/>
  <c r="P15" i="3"/>
  <c r="P22" i="3"/>
  <c r="K23" i="3"/>
  <c r="P16" i="3"/>
  <c r="F11" i="3"/>
  <c r="N11" i="4"/>
  <c r="K12" i="3"/>
  <c r="F10" i="3"/>
  <c r="F16" i="3"/>
  <c r="F22" i="3"/>
  <c r="P8" i="3"/>
  <c r="P14" i="3"/>
  <c r="P20" i="3"/>
  <c r="P29" i="3"/>
  <c r="P27" i="3"/>
  <c r="K11" i="3"/>
  <c r="K17" i="3"/>
  <c r="P10" i="3"/>
  <c r="P11" i="3"/>
  <c r="P17" i="3"/>
  <c r="P23" i="3"/>
  <c r="F15" i="3"/>
  <c r="F21" i="3"/>
  <c r="F17" i="3"/>
  <c r="F13" i="3"/>
  <c r="F14" i="3"/>
  <c r="F20" i="3"/>
  <c r="F9" i="3"/>
  <c r="N84" i="4"/>
  <c r="P9" i="3"/>
  <c r="P21" i="3"/>
  <c r="K8" i="3"/>
  <c r="K14" i="3"/>
  <c r="K20" i="3"/>
  <c r="F12" i="3"/>
  <c r="F18" i="3"/>
  <c r="F25" i="3"/>
  <c r="K9" i="3"/>
  <c r="K15" i="3"/>
  <c r="K21" i="3"/>
  <c r="F19" i="3"/>
  <c r="K10" i="3"/>
  <c r="K16" i="3"/>
  <c r="K22" i="3"/>
  <c r="N82" i="4"/>
  <c r="N83" i="4"/>
  <c r="K19" i="3"/>
  <c r="F8" i="3"/>
  <c r="F53" i="3" l="1"/>
  <c r="P138" i="3" l="1"/>
  <c r="P137" i="3"/>
  <c r="P136" i="3"/>
  <c r="P135" i="3"/>
  <c r="P134" i="3"/>
  <c r="H94" i="3"/>
  <c r="K131" i="3"/>
  <c r="K130" i="3"/>
  <c r="K129" i="3"/>
  <c r="K128" i="3"/>
  <c r="K126" i="3"/>
  <c r="K125" i="3"/>
  <c r="K124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6" i="3" l="1"/>
  <c r="K99" i="3"/>
  <c r="K100" i="3"/>
  <c r="K103" i="3"/>
  <c r="K104" i="3"/>
  <c r="K105" i="3"/>
  <c r="I139" i="3"/>
  <c r="N139" i="3" s="1"/>
  <c r="K127" i="3"/>
  <c r="H139" i="3"/>
  <c r="M139" i="3" s="1"/>
  <c r="K123" i="3"/>
  <c r="K102" i="3"/>
  <c r="K122" i="3" l="1"/>
  <c r="K107" i="3" s="1"/>
  <c r="K98" i="3"/>
  <c r="K101" i="3"/>
  <c r="K132" i="3" l="1"/>
  <c r="K139" i="3" s="1"/>
  <c r="J119" i="4" l="1"/>
  <c r="N123" i="4"/>
  <c r="N122" i="4"/>
  <c r="N121" i="4"/>
  <c r="N120" i="4"/>
  <c r="N119" i="4"/>
  <c r="J82" i="4" l="1"/>
  <c r="N50" i="4"/>
  <c r="N49" i="4"/>
  <c r="N48" i="4"/>
  <c r="N47" i="4"/>
  <c r="J47" i="4"/>
  <c r="J11" i="4"/>
  <c r="C94" i="3" l="1"/>
  <c r="P133" i="3"/>
  <c r="F131" i="3"/>
  <c r="P131" i="3" s="1"/>
  <c r="F130" i="3"/>
  <c r="P130" i="3" s="1"/>
  <c r="F129" i="3"/>
  <c r="P129" i="3" s="1"/>
  <c r="F126" i="3"/>
  <c r="P126" i="3" s="1"/>
  <c r="F125" i="3"/>
  <c r="P125" i="3" s="1"/>
  <c r="F121" i="3"/>
  <c r="P121" i="3" s="1"/>
  <c r="F120" i="3"/>
  <c r="P120" i="3" s="1"/>
  <c r="F119" i="3"/>
  <c r="P119" i="3" s="1"/>
  <c r="F118" i="3"/>
  <c r="P118" i="3" s="1"/>
  <c r="F117" i="3"/>
  <c r="P117" i="3" s="1"/>
  <c r="F116" i="3"/>
  <c r="P116" i="3" s="1"/>
  <c r="F115" i="3"/>
  <c r="P115" i="3" s="1"/>
  <c r="F114" i="3"/>
  <c r="P114" i="3" s="1"/>
  <c r="F113" i="3"/>
  <c r="P113" i="3" s="1"/>
  <c r="F112" i="3"/>
  <c r="P112" i="3" s="1"/>
  <c r="F111" i="3"/>
  <c r="P111" i="3" s="1"/>
  <c r="F110" i="3"/>
  <c r="P110" i="3" s="1"/>
  <c r="F109" i="3"/>
  <c r="P109" i="3" s="1"/>
  <c r="F106" i="3"/>
  <c r="P106" i="3" s="1"/>
  <c r="F105" i="3"/>
  <c r="P105" i="3" s="1"/>
  <c r="F104" i="3"/>
  <c r="P104" i="3" s="1"/>
  <c r="F103" i="3"/>
  <c r="P103" i="3" s="1"/>
  <c r="F102" i="3"/>
  <c r="P102" i="3" s="1"/>
  <c r="F99" i="3"/>
  <c r="P99" i="3" s="1"/>
  <c r="K77" i="3"/>
  <c r="K69" i="3"/>
  <c r="K68" i="3"/>
  <c r="K66" i="3"/>
  <c r="K65" i="3"/>
  <c r="K72" i="3" l="1"/>
  <c r="K67" i="3"/>
  <c r="K76" i="3"/>
  <c r="K64" i="3"/>
  <c r="K70" i="3"/>
  <c r="K80" i="3"/>
  <c r="K63" i="3"/>
  <c r="F101" i="3"/>
  <c r="P101" i="3" s="1"/>
  <c r="F100" i="3"/>
  <c r="F108" i="3"/>
  <c r="F124" i="3"/>
  <c r="F128" i="3"/>
  <c r="K71" i="3"/>
  <c r="K78" i="3"/>
  <c r="M5" i="3"/>
  <c r="M61" i="3"/>
  <c r="P108" i="3" l="1"/>
  <c r="F127" i="3"/>
  <c r="P127" i="3" s="1"/>
  <c r="P128" i="3"/>
  <c r="F98" i="3"/>
  <c r="P98" i="3" s="1"/>
  <c r="P100" i="3"/>
  <c r="F123" i="3"/>
  <c r="P123" i="3" s="1"/>
  <c r="P124" i="3"/>
  <c r="K16" i="4"/>
  <c r="K15" i="4"/>
  <c r="K14" i="4"/>
  <c r="N7" i="3"/>
  <c r="M7" i="3"/>
  <c r="P7" i="3"/>
  <c r="P62" i="3"/>
  <c r="N62" i="3"/>
  <c r="M62" i="3"/>
  <c r="C61" i="3" l="1"/>
  <c r="F62" i="3"/>
  <c r="D62" i="3"/>
  <c r="C62" i="3"/>
  <c r="F51" i="3"/>
  <c r="F50" i="3"/>
  <c r="F49" i="3"/>
  <c r="F45" i="3"/>
  <c r="F44" i="3"/>
  <c r="F43" i="3"/>
  <c r="F42" i="3"/>
  <c r="F41" i="3"/>
  <c r="F40" i="3"/>
  <c r="F39" i="3"/>
  <c r="F38" i="3"/>
  <c r="F37" i="3"/>
  <c r="F36" i="3"/>
  <c r="J48" i="4" l="1"/>
  <c r="N12" i="4"/>
  <c r="J120" i="4" l="1"/>
  <c r="J83" i="4"/>
  <c r="J12" i="4"/>
  <c r="K7" i="3" l="1"/>
  <c r="K62" i="3"/>
  <c r="K51" i="3"/>
  <c r="K50" i="3"/>
  <c r="K49" i="3"/>
  <c r="K45" i="3"/>
  <c r="K44" i="3"/>
  <c r="K43" i="3"/>
  <c r="K42" i="3"/>
  <c r="K41" i="3"/>
  <c r="K40" i="3"/>
  <c r="K38" i="3"/>
  <c r="K37" i="3"/>
  <c r="K39" i="3" l="1"/>
  <c r="K53" i="3"/>
  <c r="K36" i="3"/>
  <c r="F122" i="3" l="1"/>
  <c r="P122" i="3" l="1"/>
  <c r="F107" i="3"/>
  <c r="P107" i="3" s="1"/>
  <c r="F132" i="3" l="1"/>
  <c r="F139" i="3" s="1"/>
  <c r="P139" i="3" s="1"/>
  <c r="K18" i="3"/>
  <c r="P132" i="3" l="1"/>
</calcChain>
</file>

<file path=xl/sharedStrings.xml><?xml version="1.0" encoding="utf-8"?>
<sst xmlns="http://schemas.openxmlformats.org/spreadsheetml/2006/main" count="166" uniqueCount="94">
  <si>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</si>
  <si>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</si>
  <si>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</si>
  <si>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</si>
  <si>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</si>
  <si>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</si>
  <si>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</si>
  <si>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</si>
  <si>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</si>
  <si>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</si>
  <si>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</si>
  <si>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</si>
  <si>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</si>
  <si>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</si>
  <si>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</si>
  <si>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</si>
  <si>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</si>
  <si>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</si>
  <si>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</si>
  <si>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</si>
  <si>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</si>
  <si>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</si>
  <si>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</si>
  <si>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</si>
  <si>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</si>
  <si>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</si>
  <si>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</si>
  <si>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</si>
  <si>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</si>
  <si>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</si>
  <si>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</si>
  <si>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</si>
  <si>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</si>
  <si>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</si>
  <si>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</si>
  <si>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nieruchomości</t>
  </si>
  <si>
    <t>łączne finansowanie - leasing</t>
  </si>
  <si>
    <t>łączne finansowanie - pożyczka</t>
  </si>
  <si>
    <t>łączne finansowanie - leasing + pożyczka</t>
  </si>
  <si>
    <t>Leasing</t>
  </si>
  <si>
    <t>Pożyczka</t>
  </si>
  <si>
    <t>Leasing + Pożyczka</t>
  </si>
  <si>
    <t>POJAZDY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</si>
  <si>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</si>
  <si>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</si>
  <si>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</si>
  <si>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</si>
  <si>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</si>
  <si>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</si>
  <si>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</si>
  <si>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</si>
  <si>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</si>
  <si>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</si>
  <si>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magazyny energii</t>
  </si>
  <si>
    <t>pompy ciepła</t>
  </si>
  <si>
    <t>fotowoltaika</t>
  </si>
  <si>
    <t>wiatraki i turbiny wiatrowe</t>
  </si>
  <si>
    <t>stacje ładowania pojazdów elektrycznych (na użytek własny i komercyjny)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</si>
  <si>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</si>
  <si>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</si>
  <si>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</si>
  <si>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</si>
  <si>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</si>
  <si>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</si>
  <si>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</si>
  <si>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</si>
  <si>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</si>
  <si>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 xml:space="preserve">NIERUCHOMOŚCI </t>
  </si>
  <si>
    <t>budynki przemysłowe</t>
  </si>
  <si>
    <t>obiekty handlowe i usługowe</t>
  </si>
  <si>
    <t>obiekty biurowe</t>
  </si>
  <si>
    <t>hotele i obiekty rekreacyjne</t>
  </si>
  <si>
    <t>OGÓŁEM RUCHOMOŚCI I NIERUCHOMOŚCI</t>
  </si>
  <si>
    <t>I kw. 2025</t>
  </si>
  <si>
    <t>zmiana r/r</t>
  </si>
  <si>
    <t>01-09/2025</t>
  </si>
  <si>
    <t>0109/2025</t>
  </si>
  <si>
    <t>01-12 2025</t>
  </si>
  <si>
    <t>I-II 2026 vs I-II 2025</t>
  </si>
  <si>
    <t>I-II 2025</t>
  </si>
  <si>
    <t>I-II 2026</t>
  </si>
  <si>
    <t>I-II 2026/ 
I-II 2025</t>
  </si>
  <si>
    <t>III 2026 vs III 2025</t>
  </si>
  <si>
    <t>III 2025</t>
  </si>
  <si>
    <t>III 2026</t>
  </si>
  <si>
    <t>III 26 / 
III 25</t>
  </si>
  <si>
    <t>I-III 2026 vs I-III 2025</t>
  </si>
  <si>
    <t>I-III 2025</t>
  </si>
  <si>
    <t>I-III 2026</t>
  </si>
  <si>
    <t>I-III 26/
I-III 25</t>
  </si>
  <si>
    <t>FINANSOWANIE POJAZDÓW LEKKICH - I kw. 2026r. 
Łączne finansowanie leasingiem i pożyczką</t>
  </si>
  <si>
    <t>FINANSOWANIE POJAZDÓW CIĘŻKICH - I kw. 2026r. 
Łączne finansowanie leasingiem i pożyczką</t>
  </si>
  <si>
    <t>FINANSOWANIE MASZYN - I kw. 2026r. 
Łączne finansowanie leasingiem i pożyczką</t>
  </si>
  <si>
    <t>Związek Polskiego Leasingu , Warszawa 24-04-2026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</si>
</sst>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#,##0.000"/>
  </numFmts>
  <fonts count="28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E93A5"/>
        <bgColor indexed="64"/>
      </patternFill>
    </fill>
    <fill>
      <patternFill patternType="solid">
        <fgColor rgb="FFA7CFEA"/>
        <bgColor indexed="64"/>
      </patternFill>
    </fill>
  </fills>
  <borders count="3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 applyBorder="0"/>
  </cellStyleXfs>
  <cellXfs count="17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8" fillId="0" borderId="0" xfId="3"/>
    <xf numFmtId="0" fontId="8" fillId="0" borderId="18" xfId="3" applyBorder="1"/>
    <xf numFmtId="0" fontId="24" fillId="0" borderId="15" xfId="3" applyFont="1" applyBorder="1" applyAlignment="1">
      <alignment horizontal="left"/>
    </xf>
    <xf numFmtId="165" fontId="23" fillId="0" borderId="16" xfId="6" applyNumberFormat="1" applyFont="1" applyBorder="1" applyAlignment="1">
      <alignment vertical="center"/>
    </xf>
    <xf numFmtId="165" fontId="23" fillId="0" borderId="17" xfId="6" applyNumberFormat="1" applyFont="1" applyBorder="1" applyAlignment="1">
      <alignment vertical="center"/>
    </xf>
    <xf numFmtId="165" fontId="23" fillId="0" borderId="18" xfId="6" applyNumberFormat="1" applyFont="1" applyBorder="1" applyAlignment="1">
      <alignment vertical="center"/>
    </xf>
    <xf numFmtId="165" fontId="23" fillId="0" borderId="19" xfId="6" applyNumberFormat="1" applyFont="1" applyBorder="1" applyAlignment="1">
      <alignment vertical="center"/>
    </xf>
    <xf numFmtId="0" fontId="25" fillId="3" borderId="20" xfId="6" applyFont="1" applyFill="1" applyBorder="1" applyAlignment="1">
      <alignment horizontal="left" vertical="center" indent="1"/>
    </xf>
    <xf numFmtId="165" fontId="25" fillId="0" borderId="20" xfId="6" applyNumberFormat="1" applyFont="1" applyBorder="1" applyAlignment="1">
      <alignment vertical="center"/>
    </xf>
    <xf numFmtId="165" fontId="25" fillId="0" borderId="21" xfId="6" applyNumberFormat="1" applyFont="1" applyBorder="1" applyAlignment="1">
      <alignment vertical="center"/>
    </xf>
    <xf numFmtId="165" fontId="25" fillId="0" borderId="18" xfId="6" applyNumberFormat="1" applyFont="1" applyBorder="1" applyAlignment="1">
      <alignment vertical="center"/>
    </xf>
    <xf numFmtId="165" fontId="25" fillId="0" borderId="22" xfId="6" applyNumberFormat="1" applyFont="1" applyBorder="1" applyAlignment="1">
      <alignment vertical="center"/>
    </xf>
    <xf numFmtId="0" fontId="25" fillId="3" borderId="23" xfId="6" applyFont="1" applyFill="1" applyBorder="1" applyAlignment="1">
      <alignment horizontal="left" vertical="center" indent="1"/>
    </xf>
    <xf numFmtId="165" fontId="25" fillId="3" borderId="23" xfId="6" applyNumberFormat="1" applyFont="1" applyFill="1" applyBorder="1" applyAlignment="1">
      <alignment vertical="center"/>
    </xf>
    <xf numFmtId="165" fontId="25" fillId="3" borderId="24" xfId="6" applyNumberFormat="1" applyFont="1" applyFill="1" applyBorder="1" applyAlignment="1">
      <alignment vertical="center"/>
    </xf>
    <xf numFmtId="165" fontId="25" fillId="3" borderId="25" xfId="6" applyNumberFormat="1" applyFont="1" applyFill="1" applyBorder="1" applyAlignment="1">
      <alignment vertical="center"/>
    </xf>
    <xf numFmtId="0" fontId="25" fillId="3" borderId="23" xfId="6" applyFont="1" applyFill="1" applyBorder="1" applyAlignment="1">
      <alignment horizontal="left" vertical="center" indent="2"/>
    </xf>
    <xf numFmtId="165" fontId="25" fillId="0" borderId="23" xfId="6" applyNumberFormat="1" applyFont="1" applyBorder="1" applyAlignment="1">
      <alignment vertical="center"/>
    </xf>
    <xf numFmtId="165" fontId="25" fillId="0" borderId="24" xfId="6" applyNumberFormat="1" applyFont="1" applyBorder="1" applyAlignment="1">
      <alignment vertical="center"/>
    </xf>
    <xf numFmtId="165" fontId="25" fillId="0" borderId="25" xfId="6" applyNumberFormat="1" applyFont="1" applyBorder="1" applyAlignment="1">
      <alignment vertical="center"/>
    </xf>
    <xf numFmtId="0" fontId="25" fillId="3" borderId="26" xfId="6" applyFont="1" applyFill="1" applyBorder="1" applyAlignment="1">
      <alignment horizontal="left" vertical="center" indent="1"/>
    </xf>
    <xf numFmtId="165" fontId="25" fillId="0" borderId="26" xfId="6" applyNumberFormat="1" applyFont="1" applyBorder="1" applyAlignment="1">
      <alignment vertical="center"/>
    </xf>
    <xf numFmtId="165" fontId="25" fillId="0" borderId="27" xfId="6" applyNumberFormat="1" applyFont="1" applyBorder="1" applyAlignment="1">
      <alignment vertical="center"/>
    </xf>
    <xf numFmtId="165" fontId="25" fillId="0" borderId="28" xfId="6" applyNumberFormat="1" applyFont="1" applyBorder="1" applyAlignment="1">
      <alignment vertical="center"/>
    </xf>
    <xf numFmtId="0" fontId="23" fillId="3" borderId="15" xfId="6" applyFont="1" applyFill="1" applyBorder="1" applyAlignment="1">
      <alignment vertical="center"/>
    </xf>
    <xf numFmtId="165" fontId="23" fillId="0" borderId="29" xfId="6" applyNumberFormat="1" applyFont="1" applyBorder="1" applyAlignment="1">
      <alignment vertical="center"/>
    </xf>
    <xf numFmtId="165" fontId="23" fillId="0" borderId="30" xfId="6" applyNumberFormat="1" applyFont="1" applyBorder="1" applyAlignment="1">
      <alignment vertical="center"/>
    </xf>
    <xf numFmtId="0" fontId="21" fillId="0" borderId="20" xfId="3" applyFont="1" applyBorder="1" applyAlignment="1">
      <alignment horizontal="left" indent="1"/>
    </xf>
    <xf numFmtId="165" fontId="21" fillId="0" borderId="20" xfId="3" applyNumberFormat="1" applyFont="1" applyBorder="1" applyAlignment="1">
      <alignment horizontal="right"/>
    </xf>
    <xf numFmtId="165" fontId="21" fillId="0" borderId="21" xfId="3" applyNumberFormat="1" applyFont="1" applyBorder="1"/>
    <xf numFmtId="165" fontId="21" fillId="0" borderId="18" xfId="3" applyNumberFormat="1" applyFont="1" applyBorder="1"/>
    <xf numFmtId="165" fontId="21" fillId="0" borderId="22" xfId="3" applyNumberFormat="1" applyFont="1" applyBorder="1"/>
    <xf numFmtId="0" fontId="21" fillId="0" borderId="23" xfId="3" applyFont="1" applyBorder="1" applyAlignment="1">
      <alignment horizontal="left" indent="1"/>
    </xf>
    <xf numFmtId="165" fontId="21" fillId="0" borderId="25" xfId="3" applyNumberFormat="1" applyFont="1" applyBorder="1"/>
    <xf numFmtId="0" fontId="21" fillId="0" borderId="26" xfId="3" applyFont="1" applyBorder="1" applyAlignment="1">
      <alignment horizontal="left" indent="1"/>
    </xf>
    <xf numFmtId="165" fontId="24" fillId="0" borderId="29" xfId="3" applyNumberFormat="1" applyFont="1" applyBorder="1" applyAlignment="1">
      <alignment horizontal="right"/>
    </xf>
    <xf numFmtId="165" fontId="21" fillId="0" borderId="23" xfId="3" applyNumberFormat="1" applyFont="1" applyBorder="1" applyAlignment="1">
      <alignment horizontal="right"/>
    </xf>
    <xf numFmtId="165" fontId="21" fillId="0" borderId="24" xfId="3" applyNumberFormat="1" applyFont="1" applyBorder="1"/>
    <xf numFmtId="165" fontId="24" fillId="0" borderId="30" xfId="3" applyNumberFormat="1" applyFont="1" applyBorder="1"/>
    <xf numFmtId="165" fontId="24" fillId="0" borderId="18" xfId="3" applyNumberFormat="1" applyFont="1" applyBorder="1"/>
    <xf numFmtId="165" fontId="24" fillId="0" borderId="19" xfId="3" applyNumberFormat="1" applyFont="1" applyBorder="1"/>
    <xf numFmtId="165" fontId="21" fillId="5" borderId="20" xfId="3" applyNumberFormat="1" applyFont="1" applyFill="1" applyBorder="1"/>
    <xf numFmtId="165" fontId="21" fillId="5" borderId="21" xfId="3" applyNumberFormat="1" applyFont="1" applyFill="1" applyBorder="1"/>
    <xf numFmtId="165" fontId="21" fillId="5" borderId="23" xfId="3" applyNumberFormat="1" applyFont="1" applyFill="1" applyBorder="1" applyAlignment="1">
      <alignment horizontal="right"/>
    </xf>
    <xf numFmtId="165" fontId="21" fillId="5" borderId="24" xfId="3" applyNumberFormat="1" applyFont="1" applyFill="1" applyBorder="1" applyAlignment="1">
      <alignment horizontal="right"/>
    </xf>
    <xf numFmtId="165" fontId="21" fillId="0" borderId="18" xfId="3" applyNumberFormat="1" applyFont="1" applyBorder="1" applyAlignment="1">
      <alignment horizontal="right"/>
    </xf>
    <xf numFmtId="165" fontId="23" fillId="0" borderId="0" xfId="6" applyNumberFormat="1" applyFont="1" applyBorder="1" applyAlignment="1">
      <alignment horizontal="center" vertical="center" wrapText="1"/>
    </xf>
    <xf numFmtId="165" fontId="22" fillId="4" borderId="10" xfId="6" applyNumberFormat="1" applyFont="1" applyFill="1" applyBorder="1" applyAlignment="1">
      <alignment horizontal="center" vertical="center" wrapText="1"/>
    </xf>
    <xf numFmtId="165" fontId="22" fillId="7" borderId="31" xfId="6" applyNumberFormat="1" applyFont="1" applyFill="1" applyBorder="1" applyAlignment="1">
      <alignment horizontal="center" vertical="center" wrapText="1"/>
    </xf>
    <xf numFmtId="165" fontId="22" fillId="6" borderId="31" xfId="6" applyNumberFormat="1" applyFont="1" applyFill="1" applyBorder="1" applyAlignment="1">
      <alignment horizontal="center" vertical="center" wrapText="1"/>
    </xf>
    <xf numFmtId="164" fontId="23" fillId="0" borderId="16" xfId="5" applyNumberFormat="1" applyFont="1" applyBorder="1" applyAlignment="1">
      <alignment vertical="center"/>
    </xf>
    <xf numFmtId="164" fontId="23" fillId="0" borderId="17" xfId="5" applyNumberFormat="1" applyFont="1" applyBorder="1" applyAlignment="1">
      <alignment vertical="center"/>
    </xf>
    <xf numFmtId="164" fontId="23" fillId="0" borderId="18" xfId="5" applyNumberFormat="1" applyFont="1" applyFill="1" applyBorder="1" applyAlignment="1">
      <alignment vertical="center"/>
    </xf>
    <xf numFmtId="164" fontId="23" fillId="0" borderId="19" xfId="5" applyNumberFormat="1" applyFont="1" applyBorder="1" applyAlignment="1">
      <alignment vertical="center"/>
    </xf>
    <xf numFmtId="164" fontId="25" fillId="0" borderId="20" xfId="5" applyNumberFormat="1" applyFont="1" applyBorder="1" applyAlignment="1">
      <alignment vertical="center"/>
    </xf>
    <xf numFmtId="164" fontId="25" fillId="0" borderId="21" xfId="5" applyNumberFormat="1" applyFont="1" applyBorder="1" applyAlignment="1">
      <alignment vertical="center"/>
    </xf>
    <xf numFmtId="164" fontId="25" fillId="0" borderId="18" xfId="5" applyNumberFormat="1" applyFont="1" applyFill="1" applyBorder="1" applyAlignment="1">
      <alignment vertical="center"/>
    </xf>
    <xf numFmtId="164" fontId="25" fillId="0" borderId="22" xfId="5" applyNumberFormat="1" applyFont="1" applyBorder="1" applyAlignment="1">
      <alignment vertical="center"/>
    </xf>
    <xf numFmtId="164" fontId="25" fillId="3" borderId="23" xfId="5" applyNumberFormat="1" applyFont="1" applyFill="1" applyBorder="1" applyAlignment="1">
      <alignment vertical="center"/>
    </xf>
    <xf numFmtId="164" fontId="25" fillId="3" borderId="24" xfId="5" applyNumberFormat="1" applyFont="1" applyFill="1" applyBorder="1" applyAlignment="1">
      <alignment vertical="center"/>
    </xf>
    <xf numFmtId="164" fontId="25" fillId="3" borderId="25" xfId="5" applyNumberFormat="1" applyFont="1" applyFill="1" applyBorder="1" applyAlignment="1">
      <alignment vertical="center"/>
    </xf>
    <xf numFmtId="164" fontId="25" fillId="0" borderId="23" xfId="5" applyNumberFormat="1" applyFont="1" applyBorder="1" applyAlignment="1">
      <alignment vertical="center"/>
    </xf>
    <xf numFmtId="164" fontId="25" fillId="0" borderId="24" xfId="5" applyNumberFormat="1" applyFont="1" applyBorder="1" applyAlignment="1">
      <alignment vertical="center"/>
    </xf>
    <xf numFmtId="164" fontId="25" fillId="0" borderId="25" xfId="5" applyNumberFormat="1" applyFont="1" applyBorder="1" applyAlignment="1">
      <alignment vertical="center"/>
    </xf>
    <xf numFmtId="164" fontId="25" fillId="0" borderId="26" xfId="5" applyNumberFormat="1" applyFont="1" applyBorder="1" applyAlignment="1">
      <alignment vertical="center"/>
    </xf>
    <xf numFmtId="164" fontId="25" fillId="0" borderId="27" xfId="5" applyNumberFormat="1" applyFont="1" applyBorder="1" applyAlignment="1">
      <alignment vertical="center"/>
    </xf>
    <xf numFmtId="164" fontId="25" fillId="0" borderId="28" xfId="5" applyNumberFormat="1" applyFont="1" applyBorder="1" applyAlignment="1">
      <alignment vertical="center"/>
    </xf>
    <xf numFmtId="164" fontId="23" fillId="0" borderId="29" xfId="5" applyNumberFormat="1" applyFont="1" applyBorder="1" applyAlignment="1">
      <alignment vertical="center"/>
    </xf>
    <xf numFmtId="164" fontId="23" fillId="0" borderId="30" xfId="5" applyNumberFormat="1" applyFont="1" applyBorder="1" applyAlignment="1">
      <alignment vertical="center"/>
    </xf>
    <xf numFmtId="164" fontId="21" fillId="0" borderId="20" xfId="5" applyNumberFormat="1" applyFont="1" applyBorder="1" applyAlignment="1">
      <alignment horizontal="right"/>
    </xf>
    <xf numFmtId="164" fontId="21" fillId="0" borderId="21" xfId="5" applyNumberFormat="1" applyFont="1" applyBorder="1"/>
    <xf numFmtId="164" fontId="21" fillId="0" borderId="18" xfId="5" applyNumberFormat="1" applyFont="1" applyFill="1" applyBorder="1"/>
    <xf numFmtId="164" fontId="21" fillId="0" borderId="22" xfId="5" applyNumberFormat="1" applyFont="1" applyBorder="1"/>
    <xf numFmtId="164" fontId="21" fillId="0" borderId="25" xfId="5" applyNumberFormat="1" applyFont="1" applyBorder="1"/>
    <xf numFmtId="164" fontId="21" fillId="0" borderId="20" xfId="5" applyNumberFormat="1" applyFont="1" applyFill="1" applyBorder="1" applyAlignment="1">
      <alignment horizontal="right"/>
    </xf>
    <xf numFmtId="164" fontId="21" fillId="0" borderId="21" xfId="5" applyNumberFormat="1" applyFont="1" applyFill="1" applyBorder="1"/>
    <xf numFmtId="164" fontId="21" fillId="0" borderId="25" xfId="5" applyNumberFormat="1" applyFont="1" applyFill="1" applyBorder="1"/>
    <xf numFmtId="164" fontId="24" fillId="0" borderId="29" xfId="5" applyNumberFormat="1" applyFont="1" applyBorder="1" applyAlignment="1">
      <alignment horizontal="right"/>
    </xf>
    <xf numFmtId="164" fontId="21" fillId="0" borderId="23" xfId="5" applyNumberFormat="1" applyFont="1" applyBorder="1" applyAlignment="1">
      <alignment horizontal="right"/>
    </xf>
    <xf numFmtId="164" fontId="21" fillId="0" borderId="24" xfId="5" applyNumberFormat="1" applyFont="1" applyBorder="1"/>
    <xf numFmtId="164" fontId="24" fillId="0" borderId="30" xfId="5" applyNumberFormat="1" applyFont="1" applyBorder="1"/>
    <xf numFmtId="164" fontId="24" fillId="0" borderId="18" xfId="5" applyNumberFormat="1" applyFont="1" applyFill="1" applyBorder="1"/>
    <xf numFmtId="164" fontId="24" fillId="0" borderId="19" xfId="5" applyNumberFormat="1" applyFont="1" applyBorder="1"/>
    <xf numFmtId="164" fontId="21" fillId="5" borderId="20" xfId="5" applyNumberFormat="1" applyFont="1" applyFill="1" applyBorder="1"/>
    <xf numFmtId="164" fontId="21" fillId="5" borderId="21" xfId="5" applyNumberFormat="1" applyFont="1" applyFill="1" applyBorder="1"/>
    <xf numFmtId="164" fontId="21" fillId="5" borderId="23" xfId="5" applyNumberFormat="1" applyFont="1" applyFill="1" applyBorder="1" applyAlignment="1">
      <alignment horizontal="right"/>
    </xf>
    <xf numFmtId="164" fontId="21" fillId="5" borderId="24" xfId="5" applyNumberFormat="1" applyFont="1" applyFill="1" applyBorder="1" applyAlignment="1">
      <alignment horizontal="right"/>
    </xf>
    <xf numFmtId="164" fontId="21" fillId="0" borderId="18" xfId="5" applyNumberFormat="1" applyFont="1" applyFill="1" applyBorder="1" applyAlignment="1">
      <alignment horizontal="right"/>
    </xf>
    <xf numFmtId="9" fontId="11" fillId="0" borderId="0" xfId="1" applyNumberFormat="1" applyFont="1"/>
    <xf numFmtId="165" fontId="11" fillId="0" borderId="0" xfId="1" applyNumberFormat="1" applyFont="1"/>
    <xf numFmtId="166" fontId="11" fillId="0" borderId="0" xfId="1" applyNumberFormat="1" applyFont="1"/>
    <xf numFmtId="166" fontId="4" fillId="0" borderId="0" xfId="1" applyNumberFormat="1"/>
    <xf numFmtId="0" fontId="26" fillId="0" borderId="0" xfId="0" applyFont="1"/>
    <xf numFmtId="0" fontId="27" fillId="0" borderId="0" xfId="0" applyFont="1"/>
    <xf numFmtId="0" fontId="1" fillId="0" borderId="0" xfId="0" applyFont="1"/>
    <xf numFmtId="0" fontId="13" fillId="0" borderId="0" xfId="6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22" fillId="4" borderId="10" xfId="3" applyFont="1" applyFill="1" applyBorder="1" applyAlignment="1">
      <alignment horizontal="center" vertical="center" wrapText="1"/>
    </xf>
    <xf numFmtId="0" fontId="22" fillId="7" borderId="31" xfId="3" applyFont="1" applyFill="1" applyBorder="1" applyAlignment="1">
      <alignment horizontal="center" vertical="center" wrapText="1"/>
    </xf>
    <xf numFmtId="0" fontId="22" fillId="6" borderId="31" xfId="3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3" fontId="4" fillId="0" borderId="0" xfId="1" applyNumberFormat="1"/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846834A-9A80-4B26-9C4B-849B518453E3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0C35E2"/>
      <color rgb="FF7E93A5"/>
      <color rgb="FFA7CFEA"/>
      <color rgb="FFF73711"/>
      <color rgb="FF5B9BD6"/>
      <color rgb="FFBE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I kw. 2026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2026'!$I$11:$I$12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'summary_03 2026'!$J$11:$J$12</c:f>
              <c:numCache>
                <c:formatCode>0.0%</c:formatCode>
                <c:ptCount val="2"/>
                <c:pt idx="0">
                  <c:v>0.9231496042440972</c:v>
                </c:pt>
                <c:pt idx="1">
                  <c:v>7.6850395755902801E-2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 kw. 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2026'!$M$11:$M$12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'summary_03 2026'!$N$11:$N$12</c:f>
              <c:numCache>
                <c:formatCode>0.0%</c:formatCode>
                <c:ptCount val="2"/>
                <c:pt idx="0">
                  <c:v>0.87598280389966943</c:v>
                </c:pt>
                <c:pt idx="1">
                  <c:v>0.12401719610033057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 kw. 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1709474169476758"/>
          <c:y val="1.72910008130957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2026'!$I$47:$I$48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'summary_03 2026'!$J$47:$J$48</c:f>
              <c:numCache>
                <c:formatCode>0.0%</c:formatCode>
                <c:ptCount val="2"/>
                <c:pt idx="0">
                  <c:v>0.90680518849785996</c:v>
                </c:pt>
                <c:pt idx="1">
                  <c:v>9.319481150214004E-2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</a:t>
            </a:r>
            <a:r>
              <a:rPr lang="pl-PL" sz="1400" b="1" i="0" u="none" strike="noStrike" baseline="0">
                <a:effectLst/>
              </a:rPr>
              <a:t>I kw. 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285296785549088"/>
          <c:y val="2.1613835784488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1.9023268372589996E-2"/>
                  <c:y val="-0.1298631412206420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661493721218246"/>
                      <c:h val="0.1615636703812939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2026'!$M$47:$M$50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'summary_03 2026'!$N$47:$N$50</c:f>
              <c:numCache>
                <c:formatCode>0.0%</c:formatCode>
                <c:ptCount val="4"/>
                <c:pt idx="0">
                  <c:v>0.22481328822910496</c:v>
                </c:pt>
                <c:pt idx="1">
                  <c:v>0.4886256052170862</c:v>
                </c:pt>
                <c:pt idx="2">
                  <c:v>0.1804623279546618</c:v>
                </c:pt>
                <c:pt idx="3">
                  <c:v>0.10609877859914695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</a:t>
            </a:r>
            <a:r>
              <a:rPr lang="pl-PL" sz="1400" b="1" i="0" u="none" strike="noStrike" baseline="0">
                <a:effectLst/>
              </a:rPr>
              <a:t>I kw. 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2026'!$I$82:$I$83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'summary_03 2026'!$J$82:$J$83</c:f>
              <c:numCache>
                <c:formatCode>0%</c:formatCode>
                <c:ptCount val="2"/>
                <c:pt idx="0">
                  <c:v>0.59015705420892428</c:v>
                </c:pt>
                <c:pt idx="1">
                  <c:v>0.40984294579107572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</a:t>
            </a:r>
            <a:r>
              <a:rPr lang="pl-PL" sz="1400" b="1" i="0" u="none" strike="noStrike" baseline="0">
                <a:effectLst/>
              </a:rPr>
              <a:t>I kw. 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2026'!$M$82:$M$85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'summary_03 2026'!$N$82:$N$85</c:f>
              <c:numCache>
                <c:formatCode>0%</c:formatCode>
                <c:ptCount val="4"/>
                <c:pt idx="0">
                  <c:v>0.19085992377829195</c:v>
                </c:pt>
                <c:pt idx="1">
                  <c:v>0.22983451376433786</c:v>
                </c:pt>
                <c:pt idx="2">
                  <c:v>0.57930556245737019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</a:t>
            </a:r>
            <a:r>
              <a:rPr lang="pl-PL" sz="1400" b="1" i="0" u="none" strike="noStrike" baseline="0">
                <a:effectLst/>
              </a:rPr>
              <a:t>I kw. 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2026'!$I$119:$I$120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'summary_03 2026'!$J$119:$J$120</c:f>
              <c:numCache>
                <c:formatCode>0.0%</c:formatCode>
                <c:ptCount val="2"/>
                <c:pt idx="0">
                  <c:v>0.84249556475304899</c:v>
                </c:pt>
                <c:pt idx="1">
                  <c:v>0.15750443524695101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</a:t>
            </a:r>
            <a:r>
              <a:rPr lang="pl-PL" sz="1400" b="1" i="0" u="none" strike="noStrike" baseline="0">
                <a:effectLst/>
              </a:rPr>
              <a:t>I kw. 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'summary_03 2026'!$M$119:$M$123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'summary_03 2026'!$N$119:$N$123</c:f>
              <c:numCache>
                <c:formatCode>0.0%</c:formatCode>
                <c:ptCount val="5"/>
                <c:pt idx="0">
                  <c:v>0.56570062020987122</c:v>
                </c:pt>
                <c:pt idx="1">
                  <c:v>0.18367794653574454</c:v>
                </c:pt>
                <c:pt idx="2">
                  <c:v>0.2176388436868851</c:v>
                </c:pt>
                <c:pt idx="3">
                  <c:v>1.3106121849408304E-2</c:v>
                </c:pt>
                <c:pt idx="4">
                  <c:v>1.9876467718090641E-2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1920-4CB2-8011-D3E38B68E84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1920-4CB2-8011-D3E38B68E84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1920-4CB2-8011-D3E38B68E843}"/>
              </c:ext>
            </c:extLst>
          </c:dPt>
          <c:dLbls>
            <c:dLbl>
              <c:idx val="0"/>
              <c:layout>
                <c:manualLayout>
                  <c:x val="0.17746226042919805"/>
                  <c:y val="4.68928704067525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2271816182497692"/>
                  <c:y val="-7.07219485845865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1649764161666496"/>
                  <c:y val="-9.822492858970352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1920-4CB2-8011-D3E38B68E843}"/>
                </c:ext>
              </c:extLst>
            </c:dLbl>
            <c:dLbl>
              <c:idx val="3"/>
              <c:layout>
                <c:manualLayout>
                  <c:x val="9.6990388246220513E-2"/>
                  <c:y val="-0.2158821290470870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7399295610334"/>
                      <c:h val="0.1289553936185695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1920-4CB2-8011-D3E38B68E843}"/>
                </c:ext>
              </c:extLst>
            </c:dLbl>
            <c:dLbl>
              <c:idx val="4"/>
              <c:layout>
                <c:manualLayout>
                  <c:x val="0.29703074864311724"/>
                  <c:y val="-5.526097082395758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1920-4CB2-8011-D3E38B68E84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rynku_03 2026'!$B$36,'szacunek rynku_03 2026'!$B$45:$B$51)</c15:sqref>
                  </c15:fullRef>
                </c:ext>
              </c:extLst>
              <c:f>('szacunek rynku_03 2026'!$B$36,'szacunek rynku_03 2026'!$B$45,'szacunek rynku_03 2026'!$B$49:$B$51)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rynku_03 2026'!$M$36,'szacunek rynku_03 2026'!$M$45:$M$51)</c15:sqref>
                  </c15:fullRef>
                </c:ext>
              </c:extLst>
              <c:f>('szacunek rynku_03 2026'!$M$36,'szacunek rynku_03 2026'!$M$45,'szacunek rynku_03 2026'!$M$49:$M$51)</c:f>
              <c:numCache>
                <c:formatCode>#,##0</c:formatCode>
                <c:ptCount val="5"/>
                <c:pt idx="0">
                  <c:v>18453.770897240134</c:v>
                </c:pt>
                <c:pt idx="1">
                  <c:v>3638.0439597862187</c:v>
                </c:pt>
                <c:pt idx="2">
                  <c:v>225.58193473798104</c:v>
                </c:pt>
                <c:pt idx="3">
                  <c:v>263.87137691723223</c:v>
                </c:pt>
                <c:pt idx="4">
                  <c:v>101.48344686247539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rynku_03 2026'!$M$46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DD26-4A83-A713-F32F09443666}"/>
                      </c:ext>
                    </c:extLst>
                  </c15:dLbl>
                </c15:categoryFilterException>
                <c15:categoryFilterException>
                  <c15:sqref>'szacunek rynku_03 2026'!$M$47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DD26-4A83-A713-F32F09443666}"/>
                      </c:ext>
                    </c:extLst>
                  </c15:dLbl>
                </c15:categoryFilterException>
                <c15:categoryFilterException>
                  <c15:sqref>'szacunek rynku_03 2026'!$M$48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DD26-4A83-A713-F32F09443666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9E2A-4B6D-9F3A-F6DA1226AB5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9E2A-4B6D-9F3A-F6DA1226AB5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9E2A-4B6D-9F3A-F6DA1226AB5D}"/>
              </c:ext>
            </c:extLst>
          </c:dPt>
          <c:dLbls>
            <c:dLbl>
              <c:idx val="0"/>
              <c:layout>
                <c:manualLayout>
                  <c:x val="0.18159454176463227"/>
                  <c:y val="-5.476208369420457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445020367641206"/>
                  <c:y val="4.30273514740178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148577352352881"/>
                  <c:y val="-7.04083933211201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E2A-4B6D-9F3A-F6DA1226AB5D}"/>
                </c:ext>
              </c:extLst>
            </c:dLbl>
            <c:dLbl>
              <c:idx val="3"/>
              <c:layout>
                <c:manualLayout>
                  <c:x val="-4.2782608130486678E-4"/>
                  <c:y val="-0.2073136025566316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9349502873567883"/>
                      <c:h val="0.1212588996085958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9E2A-4B6D-9F3A-F6DA1226AB5D}"/>
                </c:ext>
              </c:extLst>
            </c:dLbl>
            <c:dLbl>
              <c:idx val="4"/>
              <c:layout>
                <c:manualLayout>
                  <c:x val="0.14857735235288089"/>
                  <c:y val="-9.77894351682224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9E2A-4B6D-9F3A-F6DA1226AB5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rynku_03 2026'!$B$63,'szacunek rynku_03 2026'!$B$72:$B$78)</c15:sqref>
                  </c15:fullRef>
                </c:ext>
              </c:extLst>
              <c:f>('szacunek rynku_03 2026'!$B$63,'szacunek rynku_03 2026'!$B$72,'szacunek rynku_03 2026'!$B$76:$B$78)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rynku_03 2026'!$M$63,'szacunek rynku_03 2026'!$M$72:$M$78)</c15:sqref>
                  </c15:fullRef>
                </c:ext>
              </c:extLst>
              <c:f>('szacunek rynku_03 2026'!$M$63,'szacunek rynku_03 2026'!$M$72,'szacunek rynku_03 2026'!$M$76:$M$78)</c:f>
              <c:numCache>
                <c:formatCode>#,##0</c:formatCode>
                <c:ptCount val="5"/>
                <c:pt idx="0">
                  <c:v>1248.9492749291128</c:v>
                </c:pt>
                <c:pt idx="1">
                  <c:v>2199.079164652836</c:v>
                </c:pt>
                <c:pt idx="2">
                  <c:v>65.825975548601861</c:v>
                </c:pt>
                <c:pt idx="3">
                  <c:v>24.421165098273885</c:v>
                </c:pt>
                <c:pt idx="4">
                  <c:v>12.838593980787779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rynku_03 2026'!$M$73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8A75-4D44-87EC-2E1FB7993152}"/>
                      </c:ext>
                    </c:extLst>
                  </c15:dLbl>
                </c15:categoryFilterException>
                <c15:categoryFilterException>
                  <c15:sqref>'szacunek rynku_03 2026'!$M$74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8A75-4D44-87EC-2E1FB7993152}"/>
                      </c:ext>
                    </c:extLst>
                  </c15:dLbl>
                </c15:categoryFilterException>
                <c15:categoryFilterException>
                  <c15:sqref>'szacunek rynku_03 2026'!$M$75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8A75-4D44-87EC-2E1FB7993152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EAB9-4331-A611-8D5DD68039AC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EAB9-4331-A611-8D5DD68039A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EAB9-4331-A611-8D5DD68039AC}"/>
              </c:ext>
            </c:extLst>
          </c:dPt>
          <c:dLbls>
            <c:dLbl>
              <c:idx val="0"/>
              <c:layout>
                <c:manualLayout>
                  <c:x val="0.16098438064729176"/>
                  <c:y val="3.12621733241351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1051803623107385"/>
                  <c:y val="7.8155433310338352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5685657601530997"/>
                  <c:y val="-6.6432118313787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AB9-4331-A611-8D5DD68039AC}"/>
                </c:ext>
              </c:extLst>
            </c:dLbl>
            <c:dLbl>
              <c:idx val="3"/>
              <c:layout>
                <c:manualLayout>
                  <c:x val="-1.8575120843918245E-2"/>
                  <c:y val="-0.2071118982723956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7380612189179558"/>
                      <c:h val="0.121140921631023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EAB9-4331-A611-8D5DD68039AC}"/>
                </c:ext>
              </c:extLst>
            </c:dLbl>
            <c:dLbl>
              <c:idx val="4"/>
              <c:layout>
                <c:manualLayout>
                  <c:x val="0.16923998991125544"/>
                  <c:y val="-4.29854883206859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AB9-4331-A611-8D5DD68039AC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rynku_03 2026'!$B$8,'szacunek rynku_03 2026'!$B$17:$B$23)</c15:sqref>
                  </c15:fullRef>
                </c:ext>
              </c:extLst>
              <c:f>('szacunek rynku_03 2026'!$B$8,'szacunek rynku_03 2026'!$B$17,'szacunek rynku_03 2026'!$B$21:$B$23)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rynku_03 2026'!$M$8,'szacunek rynku_03 2026'!$M$17:$M$23)</c15:sqref>
                  </c15:fullRef>
                </c:ext>
              </c:extLst>
              <c:f>('szacunek rynku_03 2026'!$M$8,'szacunek rynku_03 2026'!$M$17,'szacunek rynku_03 2026'!$M$21:$M$23)</c:f>
              <c:numCache>
                <c:formatCode>#,##0</c:formatCode>
                <c:ptCount val="5"/>
                <c:pt idx="0">
                  <c:v>19702.720172169247</c:v>
                </c:pt>
                <c:pt idx="1">
                  <c:v>5837.1231244390547</c:v>
                </c:pt>
                <c:pt idx="2">
                  <c:v>291.40791028658293</c:v>
                </c:pt>
                <c:pt idx="3">
                  <c:v>288.29254201550611</c:v>
                </c:pt>
                <c:pt idx="4">
                  <c:v>114.32204084326317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rynku_03 2026'!$M$18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0D32-4FEE-8914-0AC684DAF94A}"/>
                      </c:ext>
                    </c:extLst>
                  </c15:dLbl>
                </c15:categoryFilterException>
                <c15:categoryFilterException>
                  <c15:sqref>'szacunek rynku_03 2026'!$M$19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0D32-4FEE-8914-0AC684DAF94A}"/>
                      </c:ext>
                    </c:extLst>
                  </c15:dLbl>
                </c15:categoryFilterException>
                <c15:categoryFilterException>
                  <c15:sqref>'szacunek rynku_03 2026'!$M$20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0D32-4FEE-8914-0AC684DAF94A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CC9C-4761-9B57-01FF06DECFB1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CC9C-4761-9B57-01FF06DECFB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CC9C-4761-9B57-01FF06DECFB1}"/>
              </c:ext>
            </c:extLst>
          </c:dPt>
          <c:dLbls>
            <c:dLbl>
              <c:idx val="0"/>
              <c:layout>
                <c:manualLayout>
                  <c:x val="0.15713098231608985"/>
                  <c:y val="3.907772867932969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3569647347413475"/>
                  <c:y val="-3.9077728679329697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9021118911947721"/>
                  <c:y val="-7.815545735865939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C9C-4761-9B57-01FF06DECFB1}"/>
                </c:ext>
              </c:extLst>
            </c:dLbl>
            <c:dLbl>
              <c:idx val="3"/>
              <c:layout>
                <c:manualLayout>
                  <c:x val="-2.8945180952963955E-2"/>
                  <c:y val="-0.1973425298306149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0451450401016107"/>
                      <c:h val="0.13286427750972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CC9C-4761-9B57-01FF06DECFB1}"/>
                </c:ext>
              </c:extLst>
            </c:dLbl>
            <c:dLbl>
              <c:idx val="4"/>
              <c:layout>
                <c:manualLayout>
                  <c:x val="0.20261626667074736"/>
                  <c:y val="-5.86165930189945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CC9C-4761-9B57-01FF06DECFB1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rynku_03 2026'!$B$36,'szacunek rynku_03 2026'!$B$45:$B$51)</c15:sqref>
                  </c15:fullRef>
                </c:ext>
              </c:extLst>
              <c:f>('szacunek rynku_03 2026'!$B$36,'szacunek rynku_03 2026'!$B$45,'szacunek rynku_03 2026'!$B$49:$B$51)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rynku_03 2026'!$N$36,'szacunek rynku_03 2026'!$N$45:$N$51)</c15:sqref>
                  </c15:fullRef>
                </c:ext>
              </c:extLst>
              <c:f>('szacunek rynku_03 2026'!$N$36,'szacunek rynku_03 2026'!$N$45,'szacunek rynku_03 2026'!$N$49:$N$51)</c:f>
              <c:numCache>
                <c:formatCode>#,##0</c:formatCode>
                <c:ptCount val="5"/>
                <c:pt idx="0">
                  <c:v>20300.923584272368</c:v>
                </c:pt>
                <c:pt idx="1">
                  <c:v>3749.5529226905946</c:v>
                </c:pt>
                <c:pt idx="2">
                  <c:v>260.96089870165872</c:v>
                </c:pt>
                <c:pt idx="3">
                  <c:v>209.52571707383922</c:v>
                </c:pt>
                <c:pt idx="4">
                  <c:v>73.825733198126187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rynku_03 2026'!$N$46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E0AB-4EF4-9DA1-0AA712697232}"/>
                      </c:ext>
                    </c:extLst>
                  </c15:dLbl>
                </c15:categoryFilterException>
                <c15:categoryFilterException>
                  <c15:sqref>'szacunek rynku_03 2026'!$N$47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E0AB-4EF4-9DA1-0AA712697232}"/>
                      </c:ext>
                    </c:extLst>
                  </c15:dLbl>
                </c15:categoryFilterException>
                <c15:categoryFilterException>
                  <c15:sqref>'szacunek rynku_03 2026'!$N$48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E0AB-4EF4-9DA1-0AA712697232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3801089452"/>
          <c:y val="0.2569255334950734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E6BA-4457-B307-3AB5D253019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E6BA-4457-B307-3AB5D253019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E6BA-4457-B307-3AB5D253019E}"/>
              </c:ext>
            </c:extLst>
          </c:dPt>
          <c:dLbls>
            <c:dLbl>
              <c:idx val="0"/>
              <c:layout>
                <c:manualLayout>
                  <c:x val="0.13611235066127023"/>
                  <c:y val="0.1566162504158191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3198773397456509"/>
                  <c:y val="3.915406260395480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0210621764855283"/>
                  <c:y val="-9.005434398909609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6BA-4457-B307-3AB5D253019E}"/>
                </c:ext>
              </c:extLst>
            </c:dLbl>
            <c:dLbl>
              <c:idx val="3"/>
              <c:layout>
                <c:manualLayout>
                  <c:x val="2.2685554163362102E-2"/>
                  <c:y val="-0.2133896411915537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1561833200501184"/>
                      <c:h val="0.1409546253742373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E6BA-4457-B307-3AB5D253019E}"/>
                </c:ext>
              </c:extLst>
            </c:dLbl>
            <c:dLbl>
              <c:idx val="4"/>
              <c:layout>
                <c:manualLayout>
                  <c:x val="0.22272930108207858"/>
                  <c:y val="-3.915406260395480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6BA-4457-B307-3AB5D253019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rynku_03 2026'!$B$63,'szacunek rynku_03 2026'!$B$72:$B$78)</c15:sqref>
                  </c15:fullRef>
                </c:ext>
              </c:extLst>
              <c:f>('szacunek rynku_03 2026'!$B$63,'szacunek rynku_03 2026'!$B$72,'szacunek rynku_03 2026'!$B$76:$B$78)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rynku_03 2026'!$N$63,'szacunek rynku_03 2026'!$N$72:$N$78)</c15:sqref>
                  </c15:fullRef>
                </c:ext>
              </c:extLst>
              <c:f>('szacunek rynku_03 2026'!$N$63,'szacunek rynku_03 2026'!$N$72,'szacunek rynku_03 2026'!$N$76:$N$78)</c:f>
              <c:numCache>
                <c:formatCode>#,##0</c:formatCode>
                <c:ptCount val="5"/>
                <c:pt idx="0">
                  <c:v>1780.9851911743915</c:v>
                </c:pt>
                <c:pt idx="1">
                  <c:v>2603.9302661474694</c:v>
                </c:pt>
                <c:pt idx="2">
                  <c:v>121.64325150637102</c:v>
                </c:pt>
                <c:pt idx="3">
                  <c:v>72.92480397325842</c:v>
                </c:pt>
                <c:pt idx="4">
                  <c:v>18.509035572073483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rynku_03 2026'!$N$73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2D45-47F0-83C4-CAC38837FBE8}"/>
                      </c:ext>
                    </c:extLst>
                  </c15:dLbl>
                </c15:categoryFilterException>
                <c15:categoryFilterException>
                  <c15:sqref>'szacunek rynku_03 2026'!$N$74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2D45-47F0-83C4-CAC38837FBE8}"/>
                      </c:ext>
                    </c:extLst>
                  </c15:dLbl>
                </c15:categoryFilterException>
                <c15:categoryFilterException>
                  <c15:sqref>'szacunek rynku_03 2026'!$N$75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2D45-47F0-83C4-CAC38837FBE8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1FFF-4F8A-A7A0-C3F8E5A2D84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1FFF-4F8A-A7A0-C3F8E5A2D84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1FFF-4F8A-A7A0-C3F8E5A2D84E}"/>
              </c:ext>
            </c:extLst>
          </c:dPt>
          <c:dLbls>
            <c:dLbl>
              <c:idx val="0"/>
              <c:layout>
                <c:manualLayout>
                  <c:x val="0.23558410147397088"/>
                  <c:y val="0.1056130128537412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22731799265032276"/>
                  <c:y val="0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7772133970843421"/>
                  <c:y val="-8.99666405791129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1FFF-4F8A-A7A0-C3F8E5A2D84E}"/>
                </c:ext>
              </c:extLst>
            </c:dLbl>
            <c:dLbl>
              <c:idx val="3"/>
              <c:layout>
                <c:manualLayout>
                  <c:x val="3.7197489706416453E-2"/>
                  <c:y val="-0.1975354499671826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907229525759669"/>
                      <c:h val="0.1251709781970266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1FFF-4F8A-A7A0-C3F8E5A2D84E}"/>
                </c:ext>
              </c:extLst>
            </c:dLbl>
            <c:dLbl>
              <c:idx val="4"/>
              <c:layout>
                <c:manualLayout>
                  <c:x val="0.16532217647296202"/>
                  <c:y val="-8.99666405791129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1FFF-4F8A-A7A0-C3F8E5A2D84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rynku_03 2026'!$B$8,'szacunek rynku_03 2026'!$B$17:$B$23)</c15:sqref>
                  </c15:fullRef>
                </c:ext>
              </c:extLst>
              <c:f>('szacunek rynku_03 2026'!$B$8,'szacunek rynku_03 2026'!$B$17,'szacunek rynku_03 2026'!$B$21:$B$23)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rynku_03 2026'!$N$8,'szacunek rynku_03 2026'!$N$17:$N$23)</c15:sqref>
                  </c15:fullRef>
                </c:ext>
              </c:extLst>
              <c:f>('szacunek rynku_03 2026'!$N$8,'szacunek rynku_03 2026'!$N$17,'szacunek rynku_03 2026'!$N$21:$N$23)</c:f>
              <c:numCache>
                <c:formatCode>#,##0</c:formatCode>
                <c:ptCount val="5"/>
                <c:pt idx="0">
                  <c:v>22081.908775446758</c:v>
                </c:pt>
                <c:pt idx="1">
                  <c:v>6353.4831888380641</c:v>
                </c:pt>
                <c:pt idx="2">
                  <c:v>382.60415020802975</c:v>
                </c:pt>
                <c:pt idx="3">
                  <c:v>282.45052104709765</c:v>
                </c:pt>
                <c:pt idx="4">
                  <c:v>92.334768770199673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rynku_03 2026'!$N$18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9347-42DE-B04B-402B6A8E8F3E}"/>
                      </c:ext>
                    </c:extLst>
                  </c15:dLbl>
                </c15:categoryFilterException>
                <c15:categoryFilterException>
                  <c15:sqref>'szacunek rynku_03 2026'!$N$19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9347-42DE-B04B-402B6A8E8F3E}"/>
                      </c:ext>
                    </c:extLst>
                  </c15:dLbl>
                </c15:categoryFilterException>
                <c15:categoryFilterException>
                  <c15:sqref>'szacunek rynku_03 2026'!$N$20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9347-42DE-B04B-402B6A8E8F3E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12</xdr:row>
      <xdr:rowOff>146047</xdr:rowOff>
    </xdr:from>
    <xdr:to>
      <xdr:col>4</xdr:col>
      <xdr:colOff>904654</xdr:colOff>
      <xdr:row>14</xdr:row>
      <xdr:rowOff>104922</xdr:rowOff>
    </xdr:to>
    <xdr:sp macro="" textlink="$J$14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17,5%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16</xdr:row>
      <xdr:rowOff>87536</xdr:rowOff>
    </xdr:from>
    <xdr:to>
      <xdr:col>4</xdr:col>
      <xdr:colOff>904654</xdr:colOff>
      <xdr:row>18</xdr:row>
      <xdr:rowOff>46411</xdr:rowOff>
    </xdr:to>
    <xdr:sp macro="" textlink="$J$15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84,2%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20</xdr:row>
      <xdr:rowOff>163919</xdr:rowOff>
    </xdr:from>
    <xdr:to>
      <xdr:col>4</xdr:col>
      <xdr:colOff>898881</xdr:colOff>
      <xdr:row>22</xdr:row>
      <xdr:rowOff>122794</xdr:rowOff>
    </xdr:to>
    <xdr:sp macro="" textlink="$J$16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20,9%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20</xdr:row>
      <xdr:rowOff>146601</xdr:rowOff>
    </xdr:from>
    <xdr:to>
      <xdr:col>6</xdr:col>
      <xdr:colOff>589718</xdr:colOff>
      <xdr:row>22</xdr:row>
      <xdr:rowOff>105476</xdr:rowOff>
    </xdr:to>
    <xdr:sp macro="" textlink="$K$16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10,1%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16</xdr:row>
      <xdr:rowOff>87536</xdr:rowOff>
    </xdr:from>
    <xdr:to>
      <xdr:col>6</xdr:col>
      <xdr:colOff>589718</xdr:colOff>
      <xdr:row>18</xdr:row>
      <xdr:rowOff>46411</xdr:rowOff>
    </xdr:to>
    <xdr:sp macro="" textlink="$K$15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55,0%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</xdr:row>
      <xdr:rowOff>146047</xdr:rowOff>
    </xdr:from>
    <xdr:to>
      <xdr:col>6</xdr:col>
      <xdr:colOff>589718</xdr:colOff>
      <xdr:row>14</xdr:row>
      <xdr:rowOff>104922</xdr:rowOff>
    </xdr:to>
    <xdr:sp macro="" textlink="$K$14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7,5%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12</xdr:row>
      <xdr:rowOff>146046</xdr:rowOff>
    </xdr:from>
    <xdr:to>
      <xdr:col>3</xdr:col>
      <xdr:colOff>1176096</xdr:colOff>
      <xdr:row>14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16</xdr:row>
      <xdr:rowOff>87535</xdr:rowOff>
    </xdr:from>
    <xdr:to>
      <xdr:col>3</xdr:col>
      <xdr:colOff>1176096</xdr:colOff>
      <xdr:row>18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20</xdr:row>
      <xdr:rowOff>146600</xdr:rowOff>
    </xdr:from>
    <xdr:to>
      <xdr:col>3</xdr:col>
      <xdr:colOff>1176096</xdr:colOff>
      <xdr:row>22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</xdr:row>
      <xdr:rowOff>1046</xdr:rowOff>
    </xdr:from>
    <xdr:to>
      <xdr:col>4</xdr:col>
      <xdr:colOff>904654</xdr:colOff>
      <xdr:row>11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03/2026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</xdr:row>
      <xdr:rowOff>1046</xdr:rowOff>
    </xdr:from>
    <xdr:to>
      <xdr:col>6</xdr:col>
      <xdr:colOff>589718</xdr:colOff>
      <xdr:row>11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</a:t>
          </a:r>
          <a:r>
            <a:rPr lang="pl-PL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kw. </a:t>
          </a:r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19</xdr:row>
      <xdr:rowOff>96505</xdr:rowOff>
    </xdr:from>
    <xdr:to>
      <xdr:col>6</xdr:col>
      <xdr:colOff>732905</xdr:colOff>
      <xdr:row>19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8</xdr:row>
      <xdr:rowOff>107156</xdr:rowOff>
    </xdr:from>
    <xdr:to>
      <xdr:col>17</xdr:col>
      <xdr:colOff>333375</xdr:colOff>
      <xdr:row>18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6</xdr:row>
      <xdr:rowOff>127009</xdr:rowOff>
    </xdr:from>
    <xdr:to>
      <xdr:col>6</xdr:col>
      <xdr:colOff>627940</xdr:colOff>
      <xdr:row>9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83541" y="1651009"/>
          <a:ext cx="3065712" cy="504000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6</xdr:row>
      <xdr:rowOff>147810</xdr:rowOff>
    </xdr:from>
    <xdr:to>
      <xdr:col>3</xdr:col>
      <xdr:colOff>1176024</xdr:colOff>
      <xdr:row>11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2946" y="1709910"/>
          <a:ext cx="1790403" cy="94580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16,5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I kw. 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6</xdr:row>
      <xdr:rowOff>127009</xdr:rowOff>
    </xdr:from>
    <xdr:to>
      <xdr:col>10</xdr:col>
      <xdr:colOff>700264</xdr:colOff>
      <xdr:row>22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52739</xdr:colOff>
      <xdr:row>6</xdr:row>
      <xdr:rowOff>127009</xdr:rowOff>
    </xdr:from>
    <xdr:to>
      <xdr:col>14</xdr:col>
      <xdr:colOff>525461</xdr:colOff>
      <xdr:row>22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48</xdr:row>
      <xdr:rowOff>146047</xdr:rowOff>
    </xdr:from>
    <xdr:to>
      <xdr:col>4</xdr:col>
      <xdr:colOff>904654</xdr:colOff>
      <xdr:row>50</xdr:row>
      <xdr:rowOff>104922</xdr:rowOff>
    </xdr:to>
    <xdr:sp macro="" textlink="'szacunek rynku_03 2026'!K39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35,4%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52</xdr:row>
      <xdr:rowOff>87536</xdr:rowOff>
    </xdr:from>
    <xdr:to>
      <xdr:col>4</xdr:col>
      <xdr:colOff>904654</xdr:colOff>
      <xdr:row>54</xdr:row>
      <xdr:rowOff>46411</xdr:rowOff>
    </xdr:to>
    <xdr:sp macro="" textlink="'szacunek rynku_03 2026'!K66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56</xdr:row>
      <xdr:rowOff>146601</xdr:rowOff>
    </xdr:from>
    <xdr:to>
      <xdr:col>4</xdr:col>
      <xdr:colOff>904654</xdr:colOff>
      <xdr:row>58</xdr:row>
      <xdr:rowOff>105476</xdr:rowOff>
    </xdr:to>
    <xdr:sp macro="" textlink="'szacunek rynku_03 2026'!K11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32,0%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56</xdr:row>
      <xdr:rowOff>146601</xdr:rowOff>
    </xdr:from>
    <xdr:to>
      <xdr:col>6</xdr:col>
      <xdr:colOff>589718</xdr:colOff>
      <xdr:row>58</xdr:row>
      <xdr:rowOff>105476</xdr:rowOff>
    </xdr:to>
    <xdr:sp macro="" textlink="'szacunek rynku_03 2026'!P11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19,0%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52</xdr:row>
      <xdr:rowOff>87536</xdr:rowOff>
    </xdr:from>
    <xdr:to>
      <xdr:col>6</xdr:col>
      <xdr:colOff>589718</xdr:colOff>
      <xdr:row>54</xdr:row>
      <xdr:rowOff>46411</xdr:rowOff>
    </xdr:to>
    <xdr:sp macro="" textlink="'szacunek rynku_03 2026'!P66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18,0%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48</xdr:row>
      <xdr:rowOff>146047</xdr:rowOff>
    </xdr:from>
    <xdr:to>
      <xdr:col>6</xdr:col>
      <xdr:colOff>589718</xdr:colOff>
      <xdr:row>50</xdr:row>
      <xdr:rowOff>104922</xdr:rowOff>
    </xdr:to>
    <xdr:sp macro="" textlink="'szacunek rynku_03 2026'!P39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19,1%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48</xdr:row>
      <xdr:rowOff>146046</xdr:rowOff>
    </xdr:from>
    <xdr:to>
      <xdr:col>3</xdr:col>
      <xdr:colOff>1176096</xdr:colOff>
      <xdr:row>50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52</xdr:row>
      <xdr:rowOff>87535</xdr:rowOff>
    </xdr:from>
    <xdr:to>
      <xdr:col>3</xdr:col>
      <xdr:colOff>1176096</xdr:colOff>
      <xdr:row>54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56</xdr:row>
      <xdr:rowOff>146600</xdr:rowOff>
    </xdr:from>
    <xdr:to>
      <xdr:col>3</xdr:col>
      <xdr:colOff>1176096</xdr:colOff>
      <xdr:row>58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46</xdr:row>
      <xdr:rowOff>1046</xdr:rowOff>
    </xdr:from>
    <xdr:to>
      <xdr:col>4</xdr:col>
      <xdr:colOff>904654</xdr:colOff>
      <xdr:row>47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03/2026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46</xdr:row>
      <xdr:rowOff>1046</xdr:rowOff>
    </xdr:from>
    <xdr:to>
      <xdr:col>6</xdr:col>
      <xdr:colOff>589718</xdr:colOff>
      <xdr:row>47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 kw. 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55</xdr:row>
      <xdr:rowOff>96505</xdr:rowOff>
    </xdr:from>
    <xdr:to>
      <xdr:col>6</xdr:col>
      <xdr:colOff>732905</xdr:colOff>
      <xdr:row>55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44</xdr:row>
      <xdr:rowOff>107156</xdr:rowOff>
    </xdr:from>
    <xdr:to>
      <xdr:col>17</xdr:col>
      <xdr:colOff>333375</xdr:colOff>
      <xdr:row>54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42</xdr:row>
      <xdr:rowOff>127009</xdr:rowOff>
    </xdr:from>
    <xdr:to>
      <xdr:col>6</xdr:col>
      <xdr:colOff>627940</xdr:colOff>
      <xdr:row>45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1953" y="8388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42</xdr:row>
      <xdr:rowOff>147810</xdr:rowOff>
    </xdr:from>
    <xdr:to>
      <xdr:col>3</xdr:col>
      <xdr:colOff>1176024</xdr:colOff>
      <xdr:row>47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5,4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I kw. 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42</xdr:row>
      <xdr:rowOff>127009</xdr:rowOff>
    </xdr:from>
    <xdr:to>
      <xdr:col>10</xdr:col>
      <xdr:colOff>716139</xdr:colOff>
      <xdr:row>58</xdr:row>
      <xdr:rowOff>129831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42</xdr:row>
      <xdr:rowOff>127009</xdr:rowOff>
    </xdr:from>
    <xdr:to>
      <xdr:col>14</xdr:col>
      <xdr:colOff>603249</xdr:colOff>
      <xdr:row>58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83</xdr:row>
      <xdr:rowOff>146047</xdr:rowOff>
    </xdr:from>
    <xdr:to>
      <xdr:col>4</xdr:col>
      <xdr:colOff>904654</xdr:colOff>
      <xdr:row>85</xdr:row>
      <xdr:rowOff>104922</xdr:rowOff>
    </xdr:to>
    <xdr:sp macro="" textlink="'szacunek rynku_03 2026'!K45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17,4%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87</xdr:row>
      <xdr:rowOff>87536</xdr:rowOff>
    </xdr:from>
    <xdr:to>
      <xdr:col>4</xdr:col>
      <xdr:colOff>904654</xdr:colOff>
      <xdr:row>89</xdr:row>
      <xdr:rowOff>46411</xdr:rowOff>
    </xdr:to>
    <xdr:sp macro="" textlink="'szacunek rynku_03 2026'!K72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55,8%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91</xdr:row>
      <xdr:rowOff>146601</xdr:rowOff>
    </xdr:from>
    <xdr:to>
      <xdr:col>4</xdr:col>
      <xdr:colOff>904654</xdr:colOff>
      <xdr:row>93</xdr:row>
      <xdr:rowOff>105476</xdr:rowOff>
    </xdr:to>
    <xdr:sp macro="" textlink="'szacunek rynku_03 2026'!K17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34,1%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91</xdr:row>
      <xdr:rowOff>129283</xdr:rowOff>
    </xdr:from>
    <xdr:to>
      <xdr:col>6</xdr:col>
      <xdr:colOff>578172</xdr:colOff>
      <xdr:row>93</xdr:row>
      <xdr:rowOff>88158</xdr:rowOff>
    </xdr:to>
    <xdr:sp macro="" textlink="'szacunek rynku_03 2026'!P17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87</xdr:row>
      <xdr:rowOff>87536</xdr:rowOff>
    </xdr:from>
    <xdr:to>
      <xdr:col>6</xdr:col>
      <xdr:colOff>589718</xdr:colOff>
      <xdr:row>89</xdr:row>
      <xdr:rowOff>46411</xdr:rowOff>
    </xdr:to>
    <xdr:sp macro="" textlink="'szacunek rynku_03 2026'!P72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18,4%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83</xdr:row>
      <xdr:rowOff>146047</xdr:rowOff>
    </xdr:from>
    <xdr:to>
      <xdr:col>6</xdr:col>
      <xdr:colOff>589718</xdr:colOff>
      <xdr:row>85</xdr:row>
      <xdr:rowOff>104922</xdr:rowOff>
    </xdr:to>
    <xdr:sp macro="" textlink="'szacunek rynku_03 2026'!P45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83</xdr:row>
      <xdr:rowOff>146046</xdr:rowOff>
    </xdr:from>
    <xdr:to>
      <xdr:col>3</xdr:col>
      <xdr:colOff>1176096</xdr:colOff>
      <xdr:row>85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87</xdr:row>
      <xdr:rowOff>87535</xdr:rowOff>
    </xdr:from>
    <xdr:to>
      <xdr:col>3</xdr:col>
      <xdr:colOff>1176096</xdr:colOff>
      <xdr:row>89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91</xdr:row>
      <xdr:rowOff>146600</xdr:rowOff>
    </xdr:from>
    <xdr:to>
      <xdr:col>3</xdr:col>
      <xdr:colOff>1176096</xdr:colOff>
      <xdr:row>93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81</xdr:row>
      <xdr:rowOff>1046</xdr:rowOff>
    </xdr:from>
    <xdr:to>
      <xdr:col>4</xdr:col>
      <xdr:colOff>904654</xdr:colOff>
      <xdr:row>82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6925" y="15987171"/>
          <a:ext cx="1265292" cy="324000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 03/2026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81</xdr:row>
      <xdr:rowOff>1046</xdr:rowOff>
    </xdr:from>
    <xdr:to>
      <xdr:col>6</xdr:col>
      <xdr:colOff>589718</xdr:colOff>
      <xdr:row>82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 kw. 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90</xdr:row>
      <xdr:rowOff>96505</xdr:rowOff>
    </xdr:from>
    <xdr:to>
      <xdr:col>6</xdr:col>
      <xdr:colOff>732905</xdr:colOff>
      <xdr:row>90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79</xdr:row>
      <xdr:rowOff>107156</xdr:rowOff>
    </xdr:from>
    <xdr:to>
      <xdr:col>17</xdr:col>
      <xdr:colOff>333375</xdr:colOff>
      <xdr:row>89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77</xdr:row>
      <xdr:rowOff>127009</xdr:rowOff>
    </xdr:from>
    <xdr:to>
      <xdr:col>6</xdr:col>
      <xdr:colOff>627940</xdr:colOff>
      <xdr:row>80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1953" y="15119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77</xdr:row>
      <xdr:rowOff>147810</xdr:rowOff>
    </xdr:from>
    <xdr:to>
      <xdr:col>3</xdr:col>
      <xdr:colOff>1176024</xdr:colOff>
      <xdr:row>82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6,4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I kw. 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841728</xdr:colOff>
      <xdr:row>77</xdr:row>
      <xdr:rowOff>146059</xdr:rowOff>
    </xdr:from>
    <xdr:to>
      <xdr:col>10</xdr:col>
      <xdr:colOff>665339</xdr:colOff>
      <xdr:row>93</xdr:row>
      <xdr:rowOff>148881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79727</xdr:colOff>
      <xdr:row>77</xdr:row>
      <xdr:rowOff>146059</xdr:rowOff>
    </xdr:from>
    <xdr:to>
      <xdr:col>14</xdr:col>
      <xdr:colOff>552449</xdr:colOff>
      <xdr:row>93</xdr:row>
      <xdr:rowOff>148881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4</xdr:row>
      <xdr:rowOff>56444</xdr:rowOff>
    </xdr:from>
    <xdr:to>
      <xdr:col>3</xdr:col>
      <xdr:colOff>545985</xdr:colOff>
      <xdr:row>4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40</xdr:row>
      <xdr:rowOff>16935</xdr:rowOff>
    </xdr:from>
    <xdr:to>
      <xdr:col>3</xdr:col>
      <xdr:colOff>475457</xdr:colOff>
      <xdr:row>40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75</xdr:row>
      <xdr:rowOff>80433</xdr:rowOff>
    </xdr:from>
    <xdr:to>
      <xdr:col>3</xdr:col>
      <xdr:colOff>317500</xdr:colOff>
      <xdr:row>75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120</xdr:row>
      <xdr:rowOff>146047</xdr:rowOff>
    </xdr:from>
    <xdr:to>
      <xdr:col>4</xdr:col>
      <xdr:colOff>904654</xdr:colOff>
      <xdr:row>122</xdr:row>
      <xdr:rowOff>104922</xdr:rowOff>
    </xdr:to>
    <xdr:sp macro="" textlink="'szacunek rynku_03 2026'!K53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21,7%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124</xdr:row>
      <xdr:rowOff>87536</xdr:rowOff>
    </xdr:from>
    <xdr:to>
      <xdr:col>4</xdr:col>
      <xdr:colOff>904654</xdr:colOff>
      <xdr:row>126</xdr:row>
      <xdr:rowOff>46411</xdr:rowOff>
    </xdr:to>
    <xdr:sp macro="" textlink="'szacunek rynku_03 2026'!K80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56,5%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128</xdr:row>
      <xdr:rowOff>146601</xdr:rowOff>
    </xdr:from>
    <xdr:to>
      <xdr:col>4</xdr:col>
      <xdr:colOff>904654</xdr:colOff>
      <xdr:row>130</xdr:row>
      <xdr:rowOff>105476</xdr:rowOff>
    </xdr:to>
    <xdr:sp macro="" textlink="'szacunek rynku_03 2026'!K25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26,9%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128</xdr:row>
      <xdr:rowOff>146601</xdr:rowOff>
    </xdr:from>
    <xdr:to>
      <xdr:col>6</xdr:col>
      <xdr:colOff>589718</xdr:colOff>
      <xdr:row>130</xdr:row>
      <xdr:rowOff>105476</xdr:rowOff>
    </xdr:to>
    <xdr:sp macro="" textlink="'szacunek rynku_03 2026'!P25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11,3%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124</xdr:row>
      <xdr:rowOff>87536</xdr:rowOff>
    </xdr:from>
    <xdr:to>
      <xdr:col>6</xdr:col>
      <xdr:colOff>589718</xdr:colOff>
      <xdr:row>126</xdr:row>
      <xdr:rowOff>46411</xdr:rowOff>
    </xdr:to>
    <xdr:sp macro="" textlink="'szacunek rynku_03 2026'!P80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29,5%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120</xdr:row>
      <xdr:rowOff>146047</xdr:rowOff>
    </xdr:from>
    <xdr:to>
      <xdr:col>6</xdr:col>
      <xdr:colOff>589718</xdr:colOff>
      <xdr:row>122</xdr:row>
      <xdr:rowOff>104922</xdr:rowOff>
    </xdr:to>
    <xdr:sp macro="" textlink="'szacunek rynku_03 2026'!P53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120</xdr:row>
      <xdr:rowOff>146046</xdr:rowOff>
    </xdr:from>
    <xdr:to>
      <xdr:col>3</xdr:col>
      <xdr:colOff>1176096</xdr:colOff>
      <xdr:row>122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124</xdr:row>
      <xdr:rowOff>87535</xdr:rowOff>
    </xdr:from>
    <xdr:to>
      <xdr:col>3</xdr:col>
      <xdr:colOff>1176096</xdr:colOff>
      <xdr:row>126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128</xdr:row>
      <xdr:rowOff>10526</xdr:rowOff>
    </xdr:from>
    <xdr:to>
      <xdr:col>3</xdr:col>
      <xdr:colOff>1176096</xdr:colOff>
      <xdr:row>131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118</xdr:row>
      <xdr:rowOff>1046</xdr:rowOff>
    </xdr:from>
    <xdr:to>
      <xdr:col>4</xdr:col>
      <xdr:colOff>904654</xdr:colOff>
      <xdr:row>119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03/2026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118</xdr:row>
      <xdr:rowOff>1046</xdr:rowOff>
    </xdr:from>
    <xdr:to>
      <xdr:col>6</xdr:col>
      <xdr:colOff>589718</xdr:colOff>
      <xdr:row>119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9268" y="23091234"/>
          <a:ext cx="1261763" cy="323999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 kw. 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127</xdr:row>
      <xdr:rowOff>96505</xdr:rowOff>
    </xdr:from>
    <xdr:to>
      <xdr:col>6</xdr:col>
      <xdr:colOff>732905</xdr:colOff>
      <xdr:row>127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114</xdr:row>
      <xdr:rowOff>127009</xdr:rowOff>
    </xdr:from>
    <xdr:to>
      <xdr:col>6</xdr:col>
      <xdr:colOff>627940</xdr:colOff>
      <xdr:row>117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72428" y="23329909"/>
          <a:ext cx="2875212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114</xdr:row>
      <xdr:rowOff>147810</xdr:rowOff>
    </xdr:from>
    <xdr:to>
      <xdr:col>3</xdr:col>
      <xdr:colOff>1176024</xdr:colOff>
      <xdr:row>119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29,2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I kw. 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114</xdr:row>
      <xdr:rowOff>127009</xdr:rowOff>
    </xdr:from>
    <xdr:to>
      <xdr:col>10</xdr:col>
      <xdr:colOff>684389</xdr:colOff>
      <xdr:row>130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114</xdr:row>
      <xdr:rowOff>127009</xdr:rowOff>
    </xdr:from>
    <xdr:to>
      <xdr:col>14</xdr:col>
      <xdr:colOff>571499</xdr:colOff>
      <xdr:row>130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12</xdr:row>
      <xdr:rowOff>146047</xdr:rowOff>
    </xdr:from>
    <xdr:to>
      <xdr:col>20</xdr:col>
      <xdr:colOff>1493597</xdr:colOff>
      <xdr:row>14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16</xdr:row>
      <xdr:rowOff>87537</xdr:rowOff>
    </xdr:from>
    <xdr:to>
      <xdr:col>20</xdr:col>
      <xdr:colOff>1493597</xdr:colOff>
      <xdr:row>18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12</xdr:row>
      <xdr:rowOff>146047</xdr:rowOff>
    </xdr:from>
    <xdr:to>
      <xdr:col>22</xdr:col>
      <xdr:colOff>102189</xdr:colOff>
      <xdr:row>14</xdr:row>
      <xdr:rowOff>104922</xdr:rowOff>
    </xdr:to>
    <xdr:sp macro="" textlink="'szacunek rynku_03 2026'!K9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23,0%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16</xdr:row>
      <xdr:rowOff>87537</xdr:rowOff>
    </xdr:from>
    <xdr:to>
      <xdr:col>22</xdr:col>
      <xdr:colOff>102189</xdr:colOff>
      <xdr:row>18</xdr:row>
      <xdr:rowOff>46411</xdr:rowOff>
    </xdr:to>
    <xdr:sp macro="" textlink="'szacunek rynku_03 2026'!K10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5,9%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16</xdr:row>
      <xdr:rowOff>87537</xdr:rowOff>
    </xdr:from>
    <xdr:to>
      <xdr:col>24</xdr:col>
      <xdr:colOff>259079</xdr:colOff>
      <xdr:row>18</xdr:row>
      <xdr:rowOff>46411</xdr:rowOff>
    </xdr:to>
    <xdr:sp macro="" textlink="'szacunek rynku_03 2026'!P10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10</xdr:row>
      <xdr:rowOff>1046</xdr:rowOff>
    </xdr:from>
    <xdr:to>
      <xdr:col>22</xdr:col>
      <xdr:colOff>102189</xdr:colOff>
      <xdr:row>11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03/2026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10</xdr:row>
      <xdr:rowOff>1046</xdr:rowOff>
    </xdr:from>
    <xdr:to>
      <xdr:col>24</xdr:col>
      <xdr:colOff>259079</xdr:colOff>
      <xdr:row>11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 kw. 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12</xdr:row>
      <xdr:rowOff>146046</xdr:rowOff>
    </xdr:from>
    <xdr:to>
      <xdr:col>24</xdr:col>
      <xdr:colOff>259079</xdr:colOff>
      <xdr:row>14</xdr:row>
      <xdr:rowOff>104922</xdr:rowOff>
    </xdr:to>
    <xdr:sp macro="" textlink="'szacunek rynku_03 2026'!P9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10,8%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6</xdr:row>
      <xdr:rowOff>127009</xdr:rowOff>
    </xdr:from>
    <xdr:to>
      <xdr:col>24</xdr:col>
      <xdr:colOff>259079</xdr:colOff>
      <xdr:row>9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48</xdr:row>
      <xdr:rowOff>177797</xdr:rowOff>
    </xdr:from>
    <xdr:to>
      <xdr:col>20</xdr:col>
      <xdr:colOff>1404697</xdr:colOff>
      <xdr:row>50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51</xdr:row>
      <xdr:rowOff>145594</xdr:rowOff>
    </xdr:from>
    <xdr:to>
      <xdr:col>20</xdr:col>
      <xdr:colOff>1404697</xdr:colOff>
      <xdr:row>53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48</xdr:row>
      <xdr:rowOff>177797</xdr:rowOff>
    </xdr:from>
    <xdr:to>
      <xdr:col>22</xdr:col>
      <xdr:colOff>38689</xdr:colOff>
      <xdr:row>50</xdr:row>
      <xdr:rowOff>136672</xdr:rowOff>
    </xdr:to>
    <xdr:sp macro="" textlink="'szacunek rynku_03 2026'!K12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29,9%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51</xdr:row>
      <xdr:rowOff>145594</xdr:rowOff>
    </xdr:from>
    <xdr:to>
      <xdr:col>22</xdr:col>
      <xdr:colOff>38689</xdr:colOff>
      <xdr:row>53</xdr:row>
      <xdr:rowOff>104468</xdr:rowOff>
    </xdr:to>
    <xdr:sp macro="" textlink="'szacunek rynku_03 2026'!K13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45,0%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51</xdr:row>
      <xdr:rowOff>145594</xdr:rowOff>
    </xdr:from>
    <xdr:to>
      <xdr:col>24</xdr:col>
      <xdr:colOff>195579</xdr:colOff>
      <xdr:row>53</xdr:row>
      <xdr:rowOff>104468</xdr:rowOff>
    </xdr:to>
    <xdr:sp macro="" textlink="'szacunek rynku_03 2026'!P13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28,7%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46</xdr:row>
      <xdr:rowOff>89946</xdr:rowOff>
    </xdr:from>
    <xdr:to>
      <xdr:col>22</xdr:col>
      <xdr:colOff>38689</xdr:colOff>
      <xdr:row>48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03/2026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46</xdr:row>
      <xdr:rowOff>89946</xdr:rowOff>
    </xdr:from>
    <xdr:to>
      <xdr:col>24</xdr:col>
      <xdr:colOff>195579</xdr:colOff>
      <xdr:row>48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 kw. 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48</xdr:row>
      <xdr:rowOff>177796</xdr:rowOff>
    </xdr:from>
    <xdr:to>
      <xdr:col>24</xdr:col>
      <xdr:colOff>195579</xdr:colOff>
      <xdr:row>50</xdr:row>
      <xdr:rowOff>136672</xdr:rowOff>
    </xdr:to>
    <xdr:sp macro="" textlink="'szacunek rynku_03 2026'!P12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19,7%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42</xdr:row>
      <xdr:rowOff>127009</xdr:rowOff>
    </xdr:from>
    <xdr:to>
      <xdr:col>24</xdr:col>
      <xdr:colOff>195579</xdr:colOff>
      <xdr:row>45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54</xdr:row>
      <xdr:rowOff>113390</xdr:rowOff>
    </xdr:from>
    <xdr:to>
      <xdr:col>20</xdr:col>
      <xdr:colOff>1404697</xdr:colOff>
      <xdr:row>56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54</xdr:row>
      <xdr:rowOff>113390</xdr:rowOff>
    </xdr:from>
    <xdr:to>
      <xdr:col>22</xdr:col>
      <xdr:colOff>13289</xdr:colOff>
      <xdr:row>56</xdr:row>
      <xdr:rowOff>72264</xdr:rowOff>
    </xdr:to>
    <xdr:sp macro="" textlink="'szacunek rynku_03 2026'!K14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-6,9%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54</xdr:row>
      <xdr:rowOff>113390</xdr:rowOff>
    </xdr:from>
    <xdr:to>
      <xdr:col>24</xdr:col>
      <xdr:colOff>170179</xdr:colOff>
      <xdr:row>56</xdr:row>
      <xdr:rowOff>72264</xdr:rowOff>
    </xdr:to>
    <xdr:sp macro="" textlink="'szacunek rynku_03 2026'!P14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-4,1%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57</xdr:row>
      <xdr:rowOff>81187</xdr:rowOff>
    </xdr:from>
    <xdr:to>
      <xdr:col>20</xdr:col>
      <xdr:colOff>1404697</xdr:colOff>
      <xdr:row>59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57</xdr:row>
      <xdr:rowOff>81187</xdr:rowOff>
    </xdr:from>
    <xdr:to>
      <xdr:col>22</xdr:col>
      <xdr:colOff>25989</xdr:colOff>
      <xdr:row>59</xdr:row>
      <xdr:rowOff>40061</xdr:rowOff>
    </xdr:to>
    <xdr:sp macro="" textlink="'szacunek rynku_03 2026'!K15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82,0%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57</xdr:row>
      <xdr:rowOff>81187</xdr:rowOff>
    </xdr:from>
    <xdr:to>
      <xdr:col>24</xdr:col>
      <xdr:colOff>182879</xdr:colOff>
      <xdr:row>59</xdr:row>
      <xdr:rowOff>40061</xdr:rowOff>
    </xdr:to>
    <xdr:sp macro="" textlink="'szacunek rynku_03 2026'!P15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25,6%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84</xdr:row>
      <xdr:rowOff>6338</xdr:rowOff>
    </xdr:from>
    <xdr:to>
      <xdr:col>20</xdr:col>
      <xdr:colOff>1385663</xdr:colOff>
      <xdr:row>85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87</xdr:row>
      <xdr:rowOff>5885</xdr:rowOff>
    </xdr:from>
    <xdr:to>
      <xdr:col>20</xdr:col>
      <xdr:colOff>1385663</xdr:colOff>
      <xdr:row>88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84</xdr:row>
      <xdr:rowOff>6338</xdr:rowOff>
    </xdr:from>
    <xdr:to>
      <xdr:col>22</xdr:col>
      <xdr:colOff>19655</xdr:colOff>
      <xdr:row>85</xdr:row>
      <xdr:rowOff>149363</xdr:rowOff>
    </xdr:to>
    <xdr:sp macro="" textlink="'szacunek rynku_03 2026'!K18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CD8D611D-247B-4FDC-9D72-20DB2EFF2E5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43,8%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87</xdr:row>
      <xdr:rowOff>5885</xdr:rowOff>
    </xdr:from>
    <xdr:to>
      <xdr:col>22</xdr:col>
      <xdr:colOff>19655</xdr:colOff>
      <xdr:row>88</xdr:row>
      <xdr:rowOff>148909</xdr:rowOff>
    </xdr:to>
    <xdr:sp macro="" textlink="'szacunek rynku_03 2026'!K19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74F0EC8-DE47-4D50-827C-3B74932D55C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87</xdr:row>
      <xdr:rowOff>5885</xdr:rowOff>
    </xdr:from>
    <xdr:to>
      <xdr:col>24</xdr:col>
      <xdr:colOff>176545</xdr:colOff>
      <xdr:row>88</xdr:row>
      <xdr:rowOff>148909</xdr:rowOff>
    </xdr:to>
    <xdr:sp macro="" textlink="'szacunek rynku_03 2026'!P19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764C193-0425-4470-8819-5EEDD7E74811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-12,9%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81</xdr:row>
      <xdr:rowOff>102637</xdr:rowOff>
    </xdr:from>
    <xdr:to>
      <xdr:col>22</xdr:col>
      <xdr:colOff>19655</xdr:colOff>
      <xdr:row>83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797763" y="15806187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03/2026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81</xdr:row>
      <xdr:rowOff>102637</xdr:rowOff>
    </xdr:from>
    <xdr:to>
      <xdr:col>24</xdr:col>
      <xdr:colOff>176545</xdr:colOff>
      <xdr:row>83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 kw. 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84</xdr:row>
      <xdr:rowOff>6337</xdr:rowOff>
    </xdr:from>
    <xdr:to>
      <xdr:col>24</xdr:col>
      <xdr:colOff>176545</xdr:colOff>
      <xdr:row>85</xdr:row>
      <xdr:rowOff>149363</xdr:rowOff>
    </xdr:to>
    <xdr:sp macro="" textlink="'szacunek rynku_03 2026'!P18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9D20C95-914B-400F-B138-7AE22F51065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77</xdr:row>
      <xdr:rowOff>139700</xdr:rowOff>
    </xdr:from>
    <xdr:to>
      <xdr:col>24</xdr:col>
      <xdr:colOff>176545</xdr:colOff>
      <xdr:row>80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90</xdr:row>
      <xdr:rowOff>5431</xdr:rowOff>
    </xdr:from>
    <xdr:to>
      <xdr:col>20</xdr:col>
      <xdr:colOff>1385663</xdr:colOff>
      <xdr:row>91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90</xdr:row>
      <xdr:rowOff>5431</xdr:rowOff>
    </xdr:from>
    <xdr:to>
      <xdr:col>21</xdr:col>
      <xdr:colOff>1022955</xdr:colOff>
      <xdr:row>91</xdr:row>
      <xdr:rowOff>148455</xdr:rowOff>
    </xdr:to>
    <xdr:sp macro="" textlink="'szacunek rynku_03 2026'!K20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629EEA5-88A9-4888-B8B6-5DAA96F5DE55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51,3%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90</xdr:row>
      <xdr:rowOff>5431</xdr:rowOff>
    </xdr:from>
    <xdr:to>
      <xdr:col>24</xdr:col>
      <xdr:colOff>151145</xdr:colOff>
      <xdr:row>91</xdr:row>
      <xdr:rowOff>148455</xdr:rowOff>
    </xdr:to>
    <xdr:sp macro="" textlink="'szacunek rynku_03 2026'!P20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DA3470E-FA5F-4BD8-8EB3-51959EC6F00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20,7%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238125</xdr:colOff>
      <xdr:row>24</xdr:row>
      <xdr:rowOff>15875</xdr:rowOff>
    </xdr:from>
    <xdr:to>
      <xdr:col>14</xdr:col>
      <xdr:colOff>459253</xdr:colOff>
      <xdr:row>35</xdr:row>
      <xdr:rowOff>47751</xdr:rowOff>
    </xdr:to>
    <xdr:sp macro="" textlink="">
      <xdr:nvSpPr>
        <xdr:cNvPr id="123" name="Prostokąt: zaokrąglone rogi 122">
          <a:extLst>
            <a:ext uri="{FF2B5EF4-FFF2-40B4-BE49-F238E27FC236}">
              <a16:creationId xmlns:a16="http://schemas.microsoft.com/office/drawing/2014/main" id="{5DD1B25D-FDBA-422B-A2ED-A421011D8B2D}"/>
            </a:ext>
          </a:extLst>
        </xdr:cNvPr>
        <xdr:cNvSpPr/>
      </xdr:nvSpPr>
      <xdr:spPr>
        <a:xfrm>
          <a:off x="850034" y="4882284"/>
          <a:ext cx="10819855" cy="2063876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pozostają ważną siłą napędową całego rynku leasingu. Rok 2026 otwieramy z umiarkowanym wzrostem finansowania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OSD leasingiem i mocnym odbiciem dla w sektorze pożyczki. 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w marcu znacząco powyżej dynamiki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styczniowej (1.9% r/r) i lutowej (5.0% r/r), również powyżej tempa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z końca 2025: 11,6% r/ w IV kw. 2025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.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Tak jak w poprzednich kwartałach,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 marcu 2026 notujemy wyższą dynamikę w sektorze finansowania aut osobowych niż lekkich dostawczych.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Zakładamy utrzymanie stabilnie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wysokiej dynamiki wydatków gospodarstw domowych w 2026 roku, co finalnie będzie pozytywnie wpływało na popyt na pojazdy lekkie w Polsce.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72903</xdr:colOff>
      <xdr:row>60</xdr:row>
      <xdr:rowOff>164521</xdr:rowOff>
    </xdr:from>
    <xdr:to>
      <xdr:col>14</xdr:col>
      <xdr:colOff>586253</xdr:colOff>
      <xdr:row>70</xdr:row>
      <xdr:rowOff>42290</xdr:rowOff>
    </xdr:to>
    <xdr:sp macro="" textlink="">
      <xdr:nvSpPr>
        <xdr:cNvPr id="142" name="Prostokąt: zaokrąglone rogi 141">
          <a:extLst>
            <a:ext uri="{FF2B5EF4-FFF2-40B4-BE49-F238E27FC236}">
              <a16:creationId xmlns:a16="http://schemas.microsoft.com/office/drawing/2014/main" id="{86BC0917-A371-44BC-B56B-6CF193924F96}"/>
            </a:ext>
          </a:extLst>
        </xdr:cNvPr>
        <xdr:cNvSpPr/>
      </xdr:nvSpPr>
      <xdr:spPr>
        <a:xfrm>
          <a:off x="921494" y="12659589"/>
          <a:ext cx="10445327" cy="1800087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Notujemy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drugi z rzędu miesiąc z solidnym wzrostem f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ciężarowych: po 18,6% r/r za luty, w marcu sektor TRK przyspieszył do 32,0% r/r. Wcześniej notowaliśmy niewielki wzrost o 1,1% r/r w styczniu 2026 i o 2,4% r/r w IV kw. 2025.</a:t>
          </a:r>
          <a:endParaRPr lang="pl-PL" sz="1200" b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endParaRPr lang="pl-PL" sz="1200" b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w marcu 2026 kolejny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miesiąc z rzędu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na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bardzo wyraźnym 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plusie. 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Wzrost w tym segmencie w części można wytłumaczyć niską bazą ub. roku, ale widać też pozytywny wpływ stabilizacji sytuacji gospodarczej w strefie euro. Spadek w finansowaniu naczep, ale znaczący wzrost dla typowych ciężarówek o DMC powyżej 3,5 tony, bardziej związanych z popytem krajowym.</a:t>
          </a:r>
        </a:p>
        <a:p>
          <a:pPr algn="l"/>
          <a:endParaRPr lang="pl-PL" sz="1200" b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Wyniki sektora TRK w kolejnych miesiącach pozostaną pod wpływem rozwoju sytuacji na Bliskim Wschodzie.</a:t>
          </a:r>
          <a:endParaRPr lang="en-GB" sz="1200" b="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242454</xdr:colOff>
      <xdr:row>95</xdr:row>
      <xdr:rowOff>11546</xdr:rowOff>
    </xdr:from>
    <xdr:to>
      <xdr:col>14</xdr:col>
      <xdr:colOff>524297</xdr:colOff>
      <xdr:row>107</xdr:row>
      <xdr:rowOff>196273</xdr:rowOff>
    </xdr:to>
    <xdr:sp macro="" textlink="">
      <xdr:nvSpPr>
        <xdr:cNvPr id="143" name="Prostokąt: zaokrąglone rogi 142">
          <a:extLst>
            <a:ext uri="{FF2B5EF4-FFF2-40B4-BE49-F238E27FC236}">
              <a16:creationId xmlns:a16="http://schemas.microsoft.com/office/drawing/2014/main" id="{3DC54BE1-A410-47FC-A24A-A4D3A9507F3B}"/>
            </a:ext>
          </a:extLst>
        </xdr:cNvPr>
        <xdr:cNvSpPr/>
      </xdr:nvSpPr>
      <xdr:spPr>
        <a:xfrm>
          <a:off x="854363" y="19286682"/>
          <a:ext cx="10880570" cy="2493818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w marcu 2026 ze znacznym wzrostem w ujęciu rocznym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vs -6,0% r/r w lutym 2026, -9,4% r/r w styczniu 2026, przy skromnym wzroście o 2,6% r/r w IV kw. 2025.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Do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lutego notowaliśmy wyraźne spadki finansowania sp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rzętu budowlanego oraz maszyn rolniczych.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Marzec 2026 z dodatnim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wynikiem dla finansowania agro oraz spektaktularnymi wzrostami odnotowanymi dla maszyn budowalnych i pozostałych maszyn. W obu tych sektorach wzrost był napędzany finansowaniem pożyczką, przy bardziej umiarkowanych wzrostach w finansowaniu leasingiem.</a:t>
          </a:r>
          <a:b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endParaRPr lang="pl-PL" sz="12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Tegoroczny spadek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w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finansowaniu maszyn rolniczych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za sprawą wyraźnego pogorszenia koniunktury wśród gospodarstw rolniczych w I kw. 2026 (głównie przez gorsze oceny dochodowości działalności rolnej) oraz bardzo wysokiej bazy ub. roku ze wzrostem o 32,5% r/r w I-III kw. 2025. </a:t>
          </a:r>
        </a:p>
      </xdr:txBody>
    </xdr:sp>
    <xdr:clientData/>
  </xdr:twoCellAnchor>
  <xdr:twoCellAnchor>
    <xdr:from>
      <xdr:col>1</xdr:col>
      <xdr:colOff>236682</xdr:colOff>
      <xdr:row>132</xdr:row>
      <xdr:rowOff>138546</xdr:rowOff>
    </xdr:from>
    <xdr:to>
      <xdr:col>14</xdr:col>
      <xdr:colOff>460215</xdr:colOff>
      <xdr:row>141</xdr:row>
      <xdr:rowOff>103497</xdr:rowOff>
    </xdr:to>
    <xdr:sp macro="" textlink="">
      <xdr:nvSpPr>
        <xdr:cNvPr id="144" name="Prostokąt: zaokrąglone rogi 143">
          <a:extLst>
            <a:ext uri="{FF2B5EF4-FFF2-40B4-BE49-F238E27FC236}">
              <a16:creationId xmlns:a16="http://schemas.microsoft.com/office/drawing/2014/main" id="{0A79B813-0AC2-4382-90C5-FEEF49045B21}"/>
            </a:ext>
          </a:extLst>
        </xdr:cNvPr>
        <xdr:cNvSpPr/>
      </xdr:nvSpPr>
      <xdr:spPr>
        <a:xfrm>
          <a:off x="848591" y="26981728"/>
          <a:ext cx="10822260" cy="1627496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 wzroście r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ynku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leasingu ruchomości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 7,9% w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2025 roku i umarkowanym wynikach rynku w pierwszych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dwóch miesiącach 2026 roku (-1,8% r/r za styczeń i 4,7% r/r za luty), w marcu rynek gwałtownie przyspieszył do 26,9% r/r. To w części odreagowanie po początku roku, kiedy wyniki rynku były ograniczane przez mroźną zimę i układ kalendarza. Istotny był też wyższy popyt inwestycyjny zgłaszany przez większe firmy.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Utrzymuje się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udział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56,8% za cały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dosyć  wyraźny wzrost finansowania aktywów przez firmy leasingowe w 2026 roku.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188510</xdr:colOff>
      <xdr:row>34</xdr:row>
      <xdr:rowOff>18652</xdr:rowOff>
    </xdr:from>
    <xdr:to>
      <xdr:col>22</xdr:col>
      <xdr:colOff>21179</xdr:colOff>
      <xdr:row>54</xdr:row>
      <xdr:rowOff>191441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225145</xdr:colOff>
      <xdr:row>61</xdr:row>
      <xdr:rowOff>40798</xdr:rowOff>
    </xdr:from>
    <xdr:to>
      <xdr:col>22</xdr:col>
      <xdr:colOff>57725</xdr:colOff>
      <xdr:row>82</xdr:row>
      <xdr:rowOff>5243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157982</xdr:colOff>
      <xdr:row>6</xdr:row>
      <xdr:rowOff>28317</xdr:rowOff>
    </xdr:from>
    <xdr:to>
      <xdr:col>21</xdr:col>
      <xdr:colOff>582332</xdr:colOff>
      <xdr:row>26</xdr:row>
      <xdr:rowOff>204608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230169</xdr:colOff>
      <xdr:row>34</xdr:row>
      <xdr:rowOff>12843</xdr:rowOff>
    </xdr:from>
    <xdr:to>
      <xdr:col>28</xdr:col>
      <xdr:colOff>102069</xdr:colOff>
      <xdr:row>54</xdr:row>
      <xdr:rowOff>185604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300996</xdr:colOff>
      <xdr:row>61</xdr:row>
      <xdr:rowOff>53385</xdr:rowOff>
    </xdr:from>
    <xdr:to>
      <xdr:col>28</xdr:col>
      <xdr:colOff>180647</xdr:colOff>
      <xdr:row>82</xdr:row>
      <xdr:rowOff>14655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233833</xdr:colOff>
      <xdr:row>6</xdr:row>
      <xdr:rowOff>46006</xdr:rowOff>
    </xdr:from>
    <xdr:to>
      <xdr:col>28</xdr:col>
      <xdr:colOff>107198</xdr:colOff>
      <xdr:row>27</xdr:row>
      <xdr:rowOff>11526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0.36516</cdr:x>
      <cdr:y>0.41685</cdr:y>
    </cdr:from>
    <cdr:to>
      <cdr:x>0.70334</cdr:x>
      <cdr:y>0.58747</cdr:y>
    </cdr:to>
    <cdr:sp macro="" textlink="'szacunek rynku_03 2026'!$M$35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026930" y="1347155"/>
          <a:ext cx="951058" cy="5514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marL="0" indent="0" algn="ctr"/>
          <a:fld id="{EE573F98-4A5E-47A5-8028-A32CB29396B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0.35911</cdr:x>
      <cdr:y>0.40979</cdr:y>
    </cdr:from>
    <cdr:to>
      <cdr:x>0.69735</cdr:x>
      <cdr:y>0.57895</cdr:y>
    </cdr:to>
    <cdr:sp macro="" textlink="'szacunek rynku_03 2026'!$M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09894" y="1325537"/>
          <a:ext cx="951197" cy="547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7AAEADA1-82E4-4BC8-9396-CCE49B458408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0.39512</cdr:y>
    </cdr:from>
    <cdr:to>
      <cdr:x>0.70332</cdr:x>
      <cdr:y>0.59139</cdr:y>
    </cdr:to>
    <cdr:sp macro="" textlink="'szacunek rynku_03 2026'!$M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13123" y="1278317"/>
          <a:ext cx="938640" cy="635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6AB9256F-495E-486C-BB42-81E286D2614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0.35438</cdr:x>
      <cdr:y>0.4088</cdr:y>
    </cdr:from>
    <cdr:to>
      <cdr:x>0.70673</cdr:x>
      <cdr:y>0.57795</cdr:y>
    </cdr:to>
    <cdr:sp macro="" textlink="'szacunek rynku_03 2026'!$N$35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906482" y="1319241"/>
          <a:ext cx="901292" cy="5458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4EE320CA-1939-4BCB-B9B4-E9D273C5EF94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I-III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0.02421</cdr:x>
      <cdr:y>0.79937</cdr:y>
    </cdr:from>
    <cdr:to>
      <cdr:x>0.97996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61931" y="2579656"/>
          <a:ext cx="2444749" cy="5376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0.32075</cdr:x>
      <cdr:y>0.41191</cdr:y>
    </cdr:from>
    <cdr:to>
      <cdr:x>0.70501</cdr:x>
      <cdr:y>0.58124</cdr:y>
    </cdr:to>
    <cdr:sp macro="" textlink="'szacunek rynku_03 2026'!$N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822954" y="1328475"/>
          <a:ext cx="985885" cy="546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47C68544-B0B8-40B9-867E-7CB5810E735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I-III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0.01138</cdr:x>
      <cdr:y>0.82584</cdr:y>
    </cdr:from>
    <cdr:to>
      <cdr:x>0.96919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9204" y="2663474"/>
          <a:ext cx="2457450" cy="5372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0.33041</cdr:x>
      <cdr:y>0.41176</cdr:y>
    </cdr:from>
    <cdr:to>
      <cdr:x>0.7063</cdr:x>
      <cdr:y>0.57516</cdr:y>
    </cdr:to>
    <cdr:sp macro="" textlink="'szacunek rynku_03 2026'!$N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845667" y="1329748"/>
          <a:ext cx="962049" cy="52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F1A72856-0FB9-467B-80DA-87BF76818654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I-III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44"/>
  <sheetViews>
    <sheetView showGridLines="0" topLeftCell="A43" zoomScaleNormal="100" workbookViewId="0">
      <selection activeCell="C98" sqref="C98:K101"/>
    </sheetView>
  </sheetViews>
  <sheetFormatPr defaultRowHeight="14.5" x14ac:dyDescent="0.35"/>
  <cols>
    <col min="2" max="2" width="3.54296875" customWidth="1"/>
    <col min="4" max="4" width="27" customWidth="1"/>
    <col min="5" max="7" width="14.7265625" customWidth="1"/>
    <col min="11" max="11" width="10.453125" bestFit="1" customWidth="1"/>
    <col min="12" max="14" width="10.453125" customWidth="1"/>
    <col min="16" max="16" width="3.54296875" customWidth="1"/>
    <col min="19" max="19" width="3.54296875" customWidth="1"/>
    <col min="21" max="21" width="27" customWidth="1"/>
    <col min="22" max="23" width="14.7265625" customWidth="1"/>
    <col min="29" max="29" width="3.54296875" customWidth="1"/>
  </cols>
  <sheetData>
    <row r="2" spans="2:31" ht="26" x14ac:dyDescent="0.6">
      <c r="C2" s="165" t="s">
        <v>93</v>
      </c>
    </row>
    <row r="3" spans="2:31" ht="26.5" thickBot="1" x14ac:dyDescent="0.65">
      <c r="C3" s="165"/>
    </row>
    <row r="4" spans="2:31" ht="15" thickTop="1" x14ac:dyDescent="0.3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S4" s="1"/>
      <c r="T4" s="2"/>
      <c r="U4" s="2"/>
      <c r="V4" s="2"/>
      <c r="W4" s="2"/>
      <c r="X4" s="2"/>
      <c r="Y4" s="2"/>
      <c r="Z4" s="2"/>
      <c r="AA4" s="2"/>
      <c r="AB4" s="2"/>
      <c r="AC4" s="3"/>
    </row>
    <row r="5" spans="2:31" s="6" customFormat="1" ht="61.5" customHeight="1" x14ac:dyDescent="0.35">
      <c r="B5" s="4"/>
      <c r="C5" s="171" t="s">
        <v>28</v>
      </c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5"/>
      <c r="S5" s="4"/>
      <c r="T5" s="171" t="s">
        <v>90</v>
      </c>
      <c r="U5" s="171"/>
      <c r="V5" s="171"/>
      <c r="W5" s="171"/>
      <c r="X5" s="171"/>
      <c r="Y5" s="171"/>
      <c r="Z5" s="171"/>
      <c r="AA5" s="171"/>
      <c r="AB5" s="171"/>
      <c r="AC5" s="5"/>
      <c r="AE5" s="7"/>
    </row>
    <row r="6" spans="2:31" x14ac:dyDescent="0.35">
      <c r="B6" s="8"/>
      <c r="L6" s="163"/>
      <c r="P6" s="9"/>
      <c r="S6" s="8"/>
      <c r="AC6" s="9"/>
    </row>
    <row r="7" spans="2:31" x14ac:dyDescent="0.35">
      <c r="B7" s="8"/>
      <c r="P7" s="9"/>
      <c r="S7" s="8"/>
      <c r="AC7" s="9"/>
    </row>
    <row r="8" spans="2:31" x14ac:dyDescent="0.35">
      <c r="B8" s="8"/>
      <c r="P8" s="9"/>
      <c r="S8" s="8"/>
      <c r="AC8" s="9"/>
    </row>
    <row r="9" spans="2:31" x14ac:dyDescent="0.35">
      <c r="B9" s="8"/>
      <c r="P9" s="9"/>
      <c r="S9" s="8"/>
      <c r="AC9" s="9"/>
    </row>
    <row r="10" spans="2:31" x14ac:dyDescent="0.35">
      <c r="B10" s="8"/>
      <c r="J10" s="61" t="s">
        <v>77</v>
      </c>
      <c r="N10" s="61" t="s">
        <v>77</v>
      </c>
      <c r="P10" s="9"/>
      <c r="S10" s="8"/>
      <c r="V10" s="14"/>
      <c r="AC10" s="9"/>
    </row>
    <row r="11" spans="2:31" x14ac:dyDescent="0.35">
      <c r="B11" s="8"/>
      <c r="I11" t="s">
        <v>1</v>
      </c>
      <c r="J11" s="62">
        <f>('szacunek rynku_03 2026'!N37+'szacunek rynku_03 2026'!N38)/('szacunek rynku_03 2026'!N9+'szacunek rynku_03 2026'!N10)</f>
        <v>0.9231496042440972</v>
      </c>
      <c r="M11" t="s">
        <v>0</v>
      </c>
      <c r="N11" s="62">
        <f>'szacunek rynku_03 2026'!N9/SUM('szacunek rynku_03 2026'!N9:N10)</f>
        <v>0.87598280389966943</v>
      </c>
      <c r="P11" s="9"/>
      <c r="S11" s="8"/>
      <c r="V11" s="64"/>
      <c r="Z11" s="13"/>
      <c r="AC11" s="9"/>
    </row>
    <row r="12" spans="2:31" x14ac:dyDescent="0.35">
      <c r="B12" s="8"/>
      <c r="I12" t="s">
        <v>2</v>
      </c>
      <c r="J12" s="62">
        <f>1-J11</f>
        <v>7.6850395755902801E-2</v>
      </c>
      <c r="M12" t="s">
        <v>3</v>
      </c>
      <c r="N12" s="62">
        <f>1-N11</f>
        <v>0.12401719610033057</v>
      </c>
      <c r="P12" s="9"/>
      <c r="S12" s="8"/>
      <c r="V12" s="64"/>
      <c r="Z12" s="13"/>
      <c r="AA12" s="69"/>
      <c r="AC12" s="9"/>
    </row>
    <row r="13" spans="2:31" x14ac:dyDescent="0.35">
      <c r="B13" s="8"/>
      <c r="P13" s="9"/>
      <c r="S13" s="8"/>
      <c r="Z13" s="13"/>
      <c r="AC13" s="9"/>
    </row>
    <row r="14" spans="2:31" x14ac:dyDescent="0.35">
      <c r="B14" s="8"/>
      <c r="I14" t="s">
        <v>1</v>
      </c>
      <c r="J14" s="63">
        <f>('szacunek rynku_03 2026'!I37+'szacunek rynku_03 2026'!I38)/('szacunek rynku_03 2026'!H37+'szacunek rynku_03 2026'!H38)-1</f>
        <v>0.17455240930501459</v>
      </c>
      <c r="K14" s="62">
        <f>('szacunek rynku_03 2026'!N37+'szacunek rynku_03 2026'!N38)/('szacunek rynku_03 2026'!M37+'szacunek rynku_03 2026'!M38)-1</f>
        <v>7.4777225030183248E-2</v>
      </c>
      <c r="P14" s="9"/>
      <c r="S14" s="8"/>
      <c r="AC14" s="9"/>
    </row>
    <row r="15" spans="2:31" x14ac:dyDescent="0.35">
      <c r="B15" s="8"/>
      <c r="I15" t="s">
        <v>2</v>
      </c>
      <c r="J15" s="63">
        <f>('szacunek rynku_03 2026'!I64+'szacunek rynku_03 2026'!I65)/('szacunek rynku_03 2026'!H64+'szacunek rynku_03 2026'!H65)-1</f>
        <v>0.84175206505136835</v>
      </c>
      <c r="K15" s="62">
        <f>('szacunek rynku_03 2026'!N64+'szacunek rynku_03 2026'!N65)/('szacunek rynku_03 2026'!M64+'szacunek rynku_03 2026'!M65)-1</f>
        <v>0.54955854600737819</v>
      </c>
      <c r="P15" s="9"/>
      <c r="S15" s="8"/>
      <c r="AC15" s="9"/>
    </row>
    <row r="16" spans="2:31" x14ac:dyDescent="0.35">
      <c r="B16" s="8"/>
      <c r="I16" t="s">
        <v>34</v>
      </c>
      <c r="J16" s="63">
        <f>('szacunek rynku_03 2026'!I10+'szacunek rynku_03 2026'!I9)/('szacunek rynku_03 2026'!H9+'szacunek rynku_03 2026'!H10)-1</f>
        <v>0.2089903381189151</v>
      </c>
      <c r="K16" s="62">
        <f>('szacunek rynku_03 2026'!N10+'szacunek rynku_03 2026'!N9)/('szacunek rynku_03 2026'!M9+'szacunek rynku_03 2026'!M10)-1</f>
        <v>0.10069506246573678</v>
      </c>
      <c r="P16" s="9"/>
      <c r="S16" s="8"/>
      <c r="AC16" s="9"/>
    </row>
    <row r="17" spans="2:29" x14ac:dyDescent="0.35">
      <c r="B17" s="8"/>
      <c r="P17" s="9"/>
      <c r="S17" s="8"/>
      <c r="AC17" s="9"/>
    </row>
    <row r="18" spans="2:29" x14ac:dyDescent="0.35">
      <c r="B18" s="8"/>
      <c r="P18" s="9"/>
      <c r="S18" s="8"/>
      <c r="AC18" s="9"/>
    </row>
    <row r="19" spans="2:29" x14ac:dyDescent="0.35">
      <c r="B19" s="8"/>
      <c r="P19" s="9"/>
      <c r="S19" s="8"/>
      <c r="AC19" s="9"/>
    </row>
    <row r="20" spans="2:29" x14ac:dyDescent="0.35">
      <c r="B20" s="8"/>
      <c r="P20" s="9"/>
      <c r="S20" s="8"/>
      <c r="AC20" s="9"/>
    </row>
    <row r="21" spans="2:29" x14ac:dyDescent="0.35">
      <c r="B21" s="8"/>
      <c r="P21" s="9"/>
      <c r="S21" s="8"/>
      <c r="AC21" s="9"/>
    </row>
    <row r="22" spans="2:29" x14ac:dyDescent="0.35">
      <c r="B22" s="8"/>
      <c r="P22" s="9"/>
      <c r="S22" s="8"/>
      <c r="AC22" s="9"/>
    </row>
    <row r="23" spans="2:29" ht="15" thickBot="1" x14ac:dyDescent="0.4">
      <c r="B23" s="8"/>
      <c r="P23" s="9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2"/>
    </row>
    <row r="24" spans="2:29" ht="15" thickTop="1" x14ac:dyDescent="0.35">
      <c r="B24" s="8"/>
      <c r="P24" s="9"/>
    </row>
    <row r="25" spans="2:29" x14ac:dyDescent="0.35">
      <c r="B25" s="8"/>
      <c r="P25" s="9"/>
    </row>
    <row r="26" spans="2:29" x14ac:dyDescent="0.35">
      <c r="B26" s="8"/>
      <c r="P26" s="9"/>
    </row>
    <row r="27" spans="2:29" x14ac:dyDescent="0.35">
      <c r="B27" s="8"/>
      <c r="P27" s="9"/>
    </row>
    <row r="28" spans="2:29" x14ac:dyDescent="0.35">
      <c r="B28" s="8"/>
      <c r="P28" s="9"/>
    </row>
    <row r="29" spans="2:29" x14ac:dyDescent="0.35">
      <c r="B29" s="8"/>
      <c r="P29" s="9"/>
    </row>
    <row r="30" spans="2:29" x14ac:dyDescent="0.35">
      <c r="B30" s="8"/>
      <c r="P30" s="9"/>
    </row>
    <row r="31" spans="2:29" x14ac:dyDescent="0.35">
      <c r="B31" s="8"/>
      <c r="P31" s="9"/>
    </row>
    <row r="32" spans="2:29" x14ac:dyDescent="0.35">
      <c r="B32" s="8"/>
      <c r="P32" s="9"/>
    </row>
    <row r="33" spans="2:31" x14ac:dyDescent="0.35">
      <c r="B33" s="8"/>
      <c r="P33" s="9"/>
    </row>
    <row r="34" spans="2:31" x14ac:dyDescent="0.35">
      <c r="B34" s="8"/>
      <c r="P34" s="9"/>
    </row>
    <row r="35" spans="2:31" x14ac:dyDescent="0.35">
      <c r="B35" s="8"/>
      <c r="P35" s="9"/>
    </row>
    <row r="36" spans="2:31" ht="16.5" customHeight="1" thickBot="1" x14ac:dyDescent="0.4"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2"/>
    </row>
    <row r="37" spans="2:31" ht="15" thickTop="1" x14ac:dyDescent="0.35"/>
    <row r="39" spans="2:31" ht="15" thickBot="1" x14ac:dyDescent="0.4"/>
    <row r="40" spans="2:31" ht="15" thickTop="1" x14ac:dyDescent="0.35">
      <c r="B40" s="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"/>
      <c r="S40" s="1"/>
      <c r="T40" s="2"/>
      <c r="U40" s="2"/>
      <c r="V40" s="2"/>
      <c r="W40" s="2"/>
      <c r="X40" s="2"/>
      <c r="Y40" s="2"/>
      <c r="Z40" s="2"/>
      <c r="AA40" s="2"/>
      <c r="AB40" s="2"/>
      <c r="AC40" s="3"/>
    </row>
    <row r="41" spans="2:31" s="6" customFormat="1" ht="61.5" customHeight="1" x14ac:dyDescent="0.35">
      <c r="B41" s="4"/>
      <c r="C41" s="171" t="s">
        <v>29</v>
      </c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5"/>
      <c r="S41" s="4"/>
      <c r="T41" s="171" t="s">
        <v>91</v>
      </c>
      <c r="U41" s="171"/>
      <c r="V41" s="171"/>
      <c r="W41" s="171"/>
      <c r="X41" s="171"/>
      <c r="Y41" s="171"/>
      <c r="Z41" s="171"/>
      <c r="AA41" s="171"/>
      <c r="AB41" s="171"/>
      <c r="AC41" s="5"/>
      <c r="AE41" s="7"/>
    </row>
    <row r="42" spans="2:31" x14ac:dyDescent="0.35">
      <c r="B42" s="8"/>
      <c r="P42" s="9"/>
      <c r="S42" s="8"/>
      <c r="AC42" s="9"/>
    </row>
    <row r="43" spans="2:31" x14ac:dyDescent="0.35">
      <c r="B43" s="8"/>
      <c r="P43" s="9"/>
      <c r="S43" s="8"/>
      <c r="AC43" s="9"/>
    </row>
    <row r="44" spans="2:31" x14ac:dyDescent="0.35">
      <c r="B44" s="8"/>
      <c r="P44" s="9"/>
      <c r="S44" s="8"/>
      <c r="AC44" s="9"/>
    </row>
    <row r="45" spans="2:31" x14ac:dyDescent="0.35">
      <c r="B45" s="8"/>
      <c r="P45" s="9"/>
      <c r="S45" s="8"/>
      <c r="AC45" s="9"/>
    </row>
    <row r="46" spans="2:31" x14ac:dyDescent="0.35">
      <c r="B46" s="8"/>
      <c r="J46" s="61" t="s">
        <v>73</v>
      </c>
      <c r="N46" s="61" t="s">
        <v>73</v>
      </c>
      <c r="P46" s="9"/>
      <c r="S46" s="8"/>
      <c r="V46" s="14"/>
      <c r="AC46" s="9"/>
    </row>
    <row r="47" spans="2:31" x14ac:dyDescent="0.35">
      <c r="B47" s="8"/>
      <c r="I47" t="s">
        <v>1</v>
      </c>
      <c r="J47" s="62">
        <f>'szacunek rynku_03 2026'!N39/'szacunek rynku_03 2026'!N11</f>
        <v>0.90680518849785996</v>
      </c>
      <c r="K47" s="62"/>
      <c r="M47" t="s">
        <v>33</v>
      </c>
      <c r="N47" s="62">
        <f>'szacunek rynku_03 2026'!N12/'szacunek rynku_03 2026'!$N$11</f>
        <v>0.22481328822910496</v>
      </c>
      <c r="O47" s="62"/>
      <c r="P47" s="9"/>
      <c r="S47" s="8"/>
      <c r="V47" s="64"/>
      <c r="Z47" s="13"/>
      <c r="AC47" s="9"/>
    </row>
    <row r="48" spans="2:31" x14ac:dyDescent="0.35">
      <c r="B48" s="8"/>
      <c r="I48" t="s">
        <v>2</v>
      </c>
      <c r="J48" s="62">
        <f>1-J47</f>
        <v>9.319481150214004E-2</v>
      </c>
      <c r="K48" s="62"/>
      <c r="M48" t="s">
        <v>4</v>
      </c>
      <c r="N48" s="62">
        <f>'szacunek rynku_03 2026'!N13/'szacunek rynku_03 2026'!$N$11</f>
        <v>0.4886256052170862</v>
      </c>
      <c r="O48" s="62"/>
      <c r="P48" s="9"/>
      <c r="S48" s="8"/>
      <c r="V48" s="64"/>
      <c r="Z48" s="13"/>
      <c r="AC48" s="9"/>
    </row>
    <row r="49" spans="2:29" x14ac:dyDescent="0.35">
      <c r="B49" s="8"/>
      <c r="M49" t="s">
        <v>5</v>
      </c>
      <c r="N49" s="62">
        <f>'szacunek rynku_03 2026'!N14/'szacunek rynku_03 2026'!$N$11</f>
        <v>0.1804623279546618</v>
      </c>
      <c r="O49" s="62"/>
      <c r="P49" s="9"/>
      <c r="S49" s="8"/>
      <c r="Z49" s="13"/>
      <c r="AC49" s="9"/>
    </row>
    <row r="50" spans="2:29" x14ac:dyDescent="0.35">
      <c r="B50" s="8"/>
      <c r="M50" t="s">
        <v>6</v>
      </c>
      <c r="N50" s="62">
        <f>'szacunek rynku_03 2026'!N15/'szacunek rynku_03 2026'!$N$11</f>
        <v>0.10609877859914695</v>
      </c>
      <c r="O50" s="62"/>
      <c r="P50" s="9"/>
      <c r="S50" s="8"/>
      <c r="AC50" s="9"/>
    </row>
    <row r="51" spans="2:29" x14ac:dyDescent="0.35">
      <c r="B51" s="8"/>
      <c r="P51" s="9"/>
      <c r="S51" s="8"/>
      <c r="AC51" s="9"/>
    </row>
    <row r="52" spans="2:29" x14ac:dyDescent="0.35">
      <c r="B52" s="8"/>
      <c r="P52" s="9"/>
      <c r="S52" s="8"/>
      <c r="AC52" s="9"/>
    </row>
    <row r="53" spans="2:29" x14ac:dyDescent="0.35">
      <c r="B53" s="8"/>
      <c r="P53" s="9"/>
      <c r="S53" s="8"/>
      <c r="AC53" s="9"/>
    </row>
    <row r="54" spans="2:29" x14ac:dyDescent="0.35">
      <c r="B54" s="8"/>
      <c r="P54" s="9"/>
      <c r="S54" s="8"/>
      <c r="AC54" s="9"/>
    </row>
    <row r="55" spans="2:29" x14ac:dyDescent="0.35">
      <c r="B55" s="8"/>
      <c r="P55" s="9"/>
      <c r="S55" s="8"/>
      <c r="AC55" s="9"/>
    </row>
    <row r="56" spans="2:29" x14ac:dyDescent="0.35">
      <c r="B56" s="8"/>
      <c r="P56" s="9"/>
      <c r="S56" s="8"/>
      <c r="AC56" s="9"/>
    </row>
    <row r="57" spans="2:29" x14ac:dyDescent="0.35">
      <c r="B57" s="8"/>
      <c r="P57" s="9"/>
      <c r="S57" s="8"/>
      <c r="AC57" s="9"/>
    </row>
    <row r="58" spans="2:29" x14ac:dyDescent="0.35">
      <c r="B58" s="8"/>
      <c r="P58" s="9"/>
      <c r="S58" s="8"/>
      <c r="AC58" s="9"/>
    </row>
    <row r="59" spans="2:29" x14ac:dyDescent="0.35">
      <c r="B59" s="8"/>
      <c r="P59" s="9"/>
      <c r="S59" s="8"/>
      <c r="AC59" s="9"/>
    </row>
    <row r="60" spans="2:29" x14ac:dyDescent="0.35">
      <c r="B60" s="8"/>
      <c r="P60" s="9"/>
      <c r="S60" s="8"/>
      <c r="AC60" s="9"/>
    </row>
    <row r="61" spans="2:29" ht="15" thickBot="1" x14ac:dyDescent="0.4">
      <c r="B61" s="8"/>
      <c r="P61" s="9"/>
      <c r="S61" s="10"/>
      <c r="T61" s="11"/>
      <c r="U61" s="11"/>
      <c r="V61" s="11"/>
      <c r="W61" s="11"/>
      <c r="X61" s="11"/>
      <c r="Y61" s="11"/>
      <c r="Z61" s="11"/>
      <c r="AA61" s="11"/>
      <c r="AB61" s="11"/>
      <c r="AC61" s="12"/>
    </row>
    <row r="62" spans="2:29" ht="15" thickTop="1" x14ac:dyDescent="0.35">
      <c r="B62" s="8"/>
      <c r="P62" s="9"/>
    </row>
    <row r="63" spans="2:29" x14ac:dyDescent="0.35">
      <c r="B63" s="8"/>
      <c r="P63" s="9"/>
    </row>
    <row r="64" spans="2:29" x14ac:dyDescent="0.35">
      <c r="B64" s="8"/>
      <c r="P64" s="9"/>
    </row>
    <row r="65" spans="2:31" ht="15.5" x14ac:dyDescent="0.35">
      <c r="B65" s="8"/>
      <c r="P65" s="9"/>
      <c r="T65" s="164"/>
    </row>
    <row r="66" spans="2:31" x14ac:dyDescent="0.35">
      <c r="B66" s="8"/>
      <c r="P66" s="9"/>
    </row>
    <row r="67" spans="2:31" x14ac:dyDescent="0.35">
      <c r="B67" s="8"/>
      <c r="P67" s="9"/>
    </row>
    <row r="68" spans="2:31" x14ac:dyDescent="0.35">
      <c r="B68" s="8"/>
      <c r="P68" s="9"/>
    </row>
    <row r="69" spans="2:31" x14ac:dyDescent="0.35">
      <c r="B69" s="8"/>
      <c r="P69" s="9"/>
    </row>
    <row r="70" spans="2:31" x14ac:dyDescent="0.35">
      <c r="B70" s="8"/>
      <c r="P70" s="9"/>
    </row>
    <row r="71" spans="2:31" ht="16.5" customHeight="1" thickBot="1" x14ac:dyDescent="0.4">
      <c r="B71" s="10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2"/>
    </row>
    <row r="72" spans="2:31" ht="15" thickTop="1" x14ac:dyDescent="0.35"/>
    <row r="74" spans="2:31" ht="15" thickBot="1" x14ac:dyDescent="0.4"/>
    <row r="75" spans="2:31" ht="15" thickTop="1" x14ac:dyDescent="0.35">
      <c r="B75" s="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3"/>
      <c r="S75" s="1"/>
      <c r="T75" s="2"/>
      <c r="U75" s="2"/>
      <c r="V75" s="2"/>
      <c r="W75" s="2"/>
      <c r="X75" s="2"/>
      <c r="Y75" s="2"/>
      <c r="Z75" s="2"/>
      <c r="AA75" s="2"/>
      <c r="AB75" s="2"/>
      <c r="AC75" s="3"/>
    </row>
    <row r="76" spans="2:31" s="6" customFormat="1" ht="61.5" customHeight="1" x14ac:dyDescent="0.35">
      <c r="B76" s="4"/>
      <c r="C76" s="171" t="s">
        <v>30</v>
      </c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  <c r="P76" s="5"/>
      <c r="S76" s="4"/>
      <c r="T76" s="171" t="s">
        <v>92</v>
      </c>
      <c r="U76" s="171"/>
      <c r="V76" s="171"/>
      <c r="W76" s="171"/>
      <c r="X76" s="171"/>
      <c r="Y76" s="171"/>
      <c r="Z76" s="171"/>
      <c r="AA76" s="171"/>
      <c r="AB76" s="171"/>
      <c r="AC76" s="5"/>
      <c r="AE76" s="7"/>
    </row>
    <row r="77" spans="2:31" x14ac:dyDescent="0.35">
      <c r="B77" s="8"/>
      <c r="P77" s="9"/>
      <c r="S77" s="8"/>
      <c r="AC77" s="9"/>
    </row>
    <row r="78" spans="2:31" x14ac:dyDescent="0.35">
      <c r="B78" s="8"/>
      <c r="P78" s="9"/>
      <c r="S78" s="8"/>
      <c r="AC78" s="9"/>
    </row>
    <row r="79" spans="2:31" x14ac:dyDescent="0.35">
      <c r="B79" s="8"/>
      <c r="P79" s="9"/>
      <c r="S79" s="8"/>
      <c r="AC79" s="9"/>
    </row>
    <row r="80" spans="2:31" x14ac:dyDescent="0.35">
      <c r="B80" s="8"/>
      <c r="P80" s="9"/>
      <c r="S80" s="8"/>
      <c r="AC80" s="9"/>
    </row>
    <row r="81" spans="2:29" x14ac:dyDescent="0.35">
      <c r="B81" s="8"/>
      <c r="J81" s="61" t="s">
        <v>73</v>
      </c>
      <c r="N81" s="61" t="s">
        <v>73</v>
      </c>
      <c r="P81" s="9"/>
      <c r="S81" s="8"/>
      <c r="V81" s="14"/>
      <c r="AC81" s="9"/>
    </row>
    <row r="82" spans="2:29" x14ac:dyDescent="0.35">
      <c r="B82" s="8"/>
      <c r="I82" t="s">
        <v>1</v>
      </c>
      <c r="J82" s="13">
        <f>'szacunek rynku_03 2026'!N45/'szacunek rynku_03 2026'!N17</f>
        <v>0.59015705420892428</v>
      </c>
      <c r="M82" t="s">
        <v>24</v>
      </c>
      <c r="N82" s="13">
        <f>'szacunek rynku_03 2026'!N18/'szacunek rynku_03 2026'!$N$17</f>
        <v>0.19085992377829195</v>
      </c>
      <c r="P82" s="9"/>
      <c r="S82" s="8"/>
      <c r="V82" s="64"/>
      <c r="Z82" s="13"/>
      <c r="AC82" s="9"/>
    </row>
    <row r="83" spans="2:29" x14ac:dyDescent="0.35">
      <c r="B83" s="8"/>
      <c r="I83" t="s">
        <v>2</v>
      </c>
      <c r="J83" s="13">
        <f>1-J82</f>
        <v>0.40984294579107572</v>
      </c>
      <c r="M83" t="s">
        <v>23</v>
      </c>
      <c r="N83" s="13">
        <f>'szacunek rynku_03 2026'!N19/'szacunek rynku_03 2026'!$N$17</f>
        <v>0.22983451376433786</v>
      </c>
      <c r="P83" s="9"/>
      <c r="S83" s="8"/>
      <c r="V83" s="64"/>
      <c r="Z83" s="13"/>
      <c r="AC83" s="9"/>
    </row>
    <row r="84" spans="2:29" x14ac:dyDescent="0.35">
      <c r="B84" s="8"/>
      <c r="M84" t="s">
        <v>32</v>
      </c>
      <c r="N84" s="13">
        <f>'szacunek rynku_03 2026'!N20/'szacunek rynku_03 2026'!$N$17</f>
        <v>0.57930556245737019</v>
      </c>
      <c r="P84" s="9"/>
      <c r="S84" s="8"/>
      <c r="Z84" s="13"/>
      <c r="AC84" s="9"/>
    </row>
    <row r="85" spans="2:29" x14ac:dyDescent="0.35">
      <c r="B85" s="8"/>
      <c r="N85" s="13"/>
      <c r="P85" s="9"/>
      <c r="S85" s="8"/>
      <c r="AC85" s="9"/>
    </row>
    <row r="86" spans="2:29" x14ac:dyDescent="0.35">
      <c r="B86" s="8"/>
      <c r="P86" s="9"/>
      <c r="S86" s="8"/>
      <c r="AC86" s="9"/>
    </row>
    <row r="87" spans="2:29" x14ac:dyDescent="0.35">
      <c r="B87" s="8"/>
      <c r="P87" s="9"/>
      <c r="S87" s="8"/>
      <c r="AC87" s="9"/>
    </row>
    <row r="88" spans="2:29" x14ac:dyDescent="0.35">
      <c r="B88" s="8"/>
      <c r="P88" s="9"/>
      <c r="S88" s="8"/>
      <c r="AC88" s="9"/>
    </row>
    <row r="89" spans="2:29" x14ac:dyDescent="0.35">
      <c r="B89" s="8"/>
      <c r="P89" s="9"/>
      <c r="S89" s="8"/>
      <c r="AC89" s="9"/>
    </row>
    <row r="90" spans="2:29" x14ac:dyDescent="0.35">
      <c r="B90" s="8"/>
      <c r="P90" s="9"/>
      <c r="S90" s="8"/>
      <c r="AC90" s="9"/>
    </row>
    <row r="91" spans="2:29" x14ac:dyDescent="0.35">
      <c r="B91" s="8"/>
      <c r="P91" s="9"/>
      <c r="S91" s="8"/>
      <c r="AC91" s="9"/>
    </row>
    <row r="92" spans="2:29" x14ac:dyDescent="0.35">
      <c r="B92" s="8"/>
      <c r="P92" s="9"/>
      <c r="S92" s="8"/>
      <c r="AC92" s="9"/>
    </row>
    <row r="93" spans="2:29" x14ac:dyDescent="0.35">
      <c r="B93" s="8"/>
      <c r="P93" s="9"/>
      <c r="S93" s="8"/>
      <c r="AC93" s="9"/>
    </row>
    <row r="94" spans="2:29" ht="15" thickBot="1" x14ac:dyDescent="0.4">
      <c r="B94" s="8"/>
      <c r="P94" s="9"/>
      <c r="S94" s="10"/>
      <c r="T94" s="11"/>
      <c r="U94" s="11"/>
      <c r="V94" s="11"/>
      <c r="W94" s="11"/>
      <c r="X94" s="11"/>
      <c r="Y94" s="11"/>
      <c r="Z94" s="11"/>
      <c r="AA94" s="11"/>
      <c r="AB94" s="11"/>
      <c r="AC94" s="12"/>
    </row>
    <row r="95" spans="2:29" ht="15" thickTop="1" x14ac:dyDescent="0.35">
      <c r="B95" s="8"/>
      <c r="P95" s="9"/>
    </row>
    <row r="96" spans="2:29" x14ac:dyDescent="0.35">
      <c r="B96" s="8"/>
      <c r="P96" s="9"/>
    </row>
    <row r="97" spans="2:16" x14ac:dyDescent="0.35">
      <c r="B97" s="8"/>
      <c r="P97" s="9"/>
    </row>
    <row r="98" spans="2:16" x14ac:dyDescent="0.35">
      <c r="B98" s="8"/>
      <c r="P98" s="9"/>
    </row>
    <row r="99" spans="2:16" x14ac:dyDescent="0.35">
      <c r="B99" s="8"/>
      <c r="P99" s="9"/>
    </row>
    <row r="100" spans="2:16" x14ac:dyDescent="0.35">
      <c r="B100" s="8"/>
      <c r="P100" s="9"/>
    </row>
    <row r="101" spans="2:16" x14ac:dyDescent="0.35">
      <c r="B101" s="8"/>
      <c r="P101" s="9"/>
    </row>
    <row r="102" spans="2:16" x14ac:dyDescent="0.35">
      <c r="B102" s="8"/>
      <c r="P102" s="9"/>
    </row>
    <row r="103" spans="2:16" x14ac:dyDescent="0.35">
      <c r="B103" s="8"/>
      <c r="P103" s="9"/>
    </row>
    <row r="104" spans="2:16" ht="16.5" customHeight="1" x14ac:dyDescent="0.35">
      <c r="B104" s="8"/>
      <c r="P104" s="9"/>
    </row>
    <row r="105" spans="2:16" ht="16.5" customHeight="1" x14ac:dyDescent="0.35">
      <c r="B105" s="8"/>
      <c r="P105" s="9"/>
    </row>
    <row r="106" spans="2:16" ht="16.5" customHeight="1" x14ac:dyDescent="0.35">
      <c r="B106" s="8"/>
      <c r="P106" s="9"/>
    </row>
    <row r="107" spans="2:16" ht="16.5" customHeight="1" x14ac:dyDescent="0.35">
      <c r="B107" s="8"/>
      <c r="P107" s="9"/>
    </row>
    <row r="108" spans="2:16" ht="16.5" customHeight="1" x14ac:dyDescent="0.35">
      <c r="B108" s="8"/>
      <c r="P108" s="9"/>
    </row>
    <row r="109" spans="2:16" ht="15" thickBot="1" x14ac:dyDescent="0.4">
      <c r="B109" s="10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2"/>
    </row>
    <row r="110" spans="2:16" ht="15" thickTop="1" x14ac:dyDescent="0.35"/>
    <row r="111" spans="2:16" ht="15" thickBot="1" x14ac:dyDescent="0.4"/>
    <row r="112" spans="2:16" ht="15" thickTop="1" x14ac:dyDescent="0.35">
      <c r="B112" s="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3"/>
    </row>
    <row r="113" spans="2:31" s="6" customFormat="1" ht="61.5" customHeight="1" x14ac:dyDescent="0.35">
      <c r="B113" s="4"/>
      <c r="C113" s="171" t="s">
        <v>31</v>
      </c>
      <c r="D113" s="171"/>
      <c r="E113" s="171"/>
      <c r="F113" s="171"/>
      <c r="G113" s="171"/>
      <c r="H113" s="171"/>
      <c r="I113" s="171"/>
      <c r="J113" s="171"/>
      <c r="K113" s="171"/>
      <c r="L113" s="171"/>
      <c r="M113" s="171"/>
      <c r="N113" s="171"/>
      <c r="O113" s="171"/>
      <c r="P113" s="5"/>
      <c r="T113" s="65"/>
      <c r="U113" s="65"/>
      <c r="V113" s="65"/>
      <c r="W113" s="65"/>
      <c r="X113" s="65"/>
      <c r="Y113" s="65"/>
      <c r="Z113" s="65"/>
      <c r="AA113" s="65"/>
      <c r="AB113" s="65"/>
      <c r="AE113" s="7"/>
    </row>
    <row r="114" spans="2:31" x14ac:dyDescent="0.35">
      <c r="B114" s="8"/>
      <c r="P114" s="9"/>
    </row>
    <row r="115" spans="2:31" x14ac:dyDescent="0.35">
      <c r="B115" s="8"/>
      <c r="P115" s="9"/>
    </row>
    <row r="116" spans="2:31" x14ac:dyDescent="0.35">
      <c r="B116" s="8"/>
      <c r="P116" s="9"/>
    </row>
    <row r="117" spans="2:31" x14ac:dyDescent="0.35">
      <c r="B117" s="8"/>
      <c r="P117" s="9"/>
    </row>
    <row r="118" spans="2:31" x14ac:dyDescent="0.35">
      <c r="B118" s="8"/>
      <c r="J118" s="61" t="s">
        <v>75</v>
      </c>
      <c r="N118" s="61" t="s">
        <v>76</v>
      </c>
      <c r="P118" s="9"/>
      <c r="V118" s="14"/>
    </row>
    <row r="119" spans="2:31" x14ac:dyDescent="0.35">
      <c r="B119" s="8"/>
      <c r="I119" t="s">
        <v>1</v>
      </c>
      <c r="J119" s="62">
        <f>'szacunek rynku_03 2026'!N53/'szacunek rynku_03 2026'!N25</f>
        <v>0.84249556475304899</v>
      </c>
      <c r="M119" t="s">
        <v>25</v>
      </c>
      <c r="N119" s="62">
        <f>('szacunek rynku_03 2026'!N9+'szacunek rynku_03 2026'!N10)/'szacunek rynku_03 2026'!N25</f>
        <v>0.56570062020987122</v>
      </c>
      <c r="P119" s="9"/>
      <c r="V119" s="64"/>
      <c r="Z119" s="13"/>
    </row>
    <row r="120" spans="2:31" x14ac:dyDescent="0.35">
      <c r="B120" s="8"/>
      <c r="I120" t="s">
        <v>2</v>
      </c>
      <c r="J120" s="62">
        <f>1-J119</f>
        <v>0.15750443524695101</v>
      </c>
      <c r="M120" t="s">
        <v>26</v>
      </c>
      <c r="N120" s="62">
        <f>'szacunek rynku_03 2026'!N11/'szacunek rynku_03 2026'!N25</f>
        <v>0.18367794653574454</v>
      </c>
      <c r="P120" s="9"/>
      <c r="V120" s="64"/>
      <c r="Z120" s="13"/>
    </row>
    <row r="121" spans="2:31" x14ac:dyDescent="0.35">
      <c r="B121" s="8"/>
      <c r="M121" t="s">
        <v>27</v>
      </c>
      <c r="N121" s="62">
        <f>'szacunek rynku_03 2026'!N17/'szacunek rynku_03 2026'!N25</f>
        <v>0.2176388436868851</v>
      </c>
      <c r="P121" s="9"/>
      <c r="Z121" s="13"/>
    </row>
    <row r="122" spans="2:31" x14ac:dyDescent="0.35">
      <c r="B122" s="8"/>
      <c r="M122" t="s">
        <v>7</v>
      </c>
      <c r="N122" s="62">
        <f>'szacunek rynku_03 2026'!N21/'szacunek rynku_03 2026'!N25</f>
        <v>1.3106121849408304E-2</v>
      </c>
      <c r="P122" s="9"/>
    </row>
    <row r="123" spans="2:31" x14ac:dyDescent="0.35">
      <c r="B123" s="8"/>
      <c r="M123" t="s">
        <v>22</v>
      </c>
      <c r="N123" s="62">
        <f>('szacunek rynku_03 2026'!N16+'szacunek rynku_03 2026'!N22+'szacunek rynku_03 2026'!N23)/'szacunek rynku_03 2026'!N25</f>
        <v>1.9876467718090641E-2</v>
      </c>
      <c r="P123" s="9"/>
    </row>
    <row r="124" spans="2:31" x14ac:dyDescent="0.35">
      <c r="B124" s="8"/>
      <c r="P124" s="9"/>
    </row>
    <row r="125" spans="2:31" x14ac:dyDescent="0.35">
      <c r="B125" s="8"/>
      <c r="P125" s="9"/>
    </row>
    <row r="126" spans="2:31" x14ac:dyDescent="0.35">
      <c r="B126" s="8"/>
      <c r="P126" s="9"/>
    </row>
    <row r="127" spans="2:31" x14ac:dyDescent="0.35">
      <c r="B127" s="8"/>
      <c r="P127" s="9"/>
    </row>
    <row r="128" spans="2:31" x14ac:dyDescent="0.35">
      <c r="B128" s="8"/>
      <c r="P128" s="9"/>
    </row>
    <row r="129" spans="2:16" x14ac:dyDescent="0.35">
      <c r="B129" s="8"/>
      <c r="P129" s="9"/>
    </row>
    <row r="130" spans="2:16" x14ac:dyDescent="0.35">
      <c r="B130" s="8"/>
      <c r="P130" s="9"/>
    </row>
    <row r="131" spans="2:16" x14ac:dyDescent="0.35">
      <c r="B131" s="8"/>
      <c r="P131" s="9"/>
    </row>
    <row r="132" spans="2:16" x14ac:dyDescent="0.35">
      <c r="B132" s="8"/>
      <c r="P132" s="9"/>
    </row>
    <row r="133" spans="2:16" x14ac:dyDescent="0.35">
      <c r="B133" s="8"/>
      <c r="P133" s="9"/>
    </row>
    <row r="134" spans="2:16" x14ac:dyDescent="0.35">
      <c r="B134" s="8"/>
      <c r="P134" s="9"/>
    </row>
    <row r="135" spans="2:16" x14ac:dyDescent="0.35">
      <c r="B135" s="8"/>
      <c r="P135" s="9"/>
    </row>
    <row r="136" spans="2:16" x14ac:dyDescent="0.35">
      <c r="B136" s="8"/>
      <c r="P136" s="9"/>
    </row>
    <row r="137" spans="2:16" x14ac:dyDescent="0.35">
      <c r="B137" s="8"/>
      <c r="P137" s="9"/>
    </row>
    <row r="138" spans="2:16" x14ac:dyDescent="0.35">
      <c r="B138" s="8"/>
      <c r="P138" s="9"/>
    </row>
    <row r="139" spans="2:16" x14ac:dyDescent="0.35">
      <c r="B139" s="8"/>
      <c r="P139" s="9"/>
    </row>
    <row r="140" spans="2:16" x14ac:dyDescent="0.35">
      <c r="B140" s="8"/>
      <c r="P140" s="9"/>
    </row>
    <row r="141" spans="2:16" x14ac:dyDescent="0.35">
      <c r="B141" s="8"/>
      <c r="P141" s="9"/>
    </row>
    <row r="142" spans="2:16" x14ac:dyDescent="0.35">
      <c r="B142" s="8"/>
      <c r="P142" s="9"/>
    </row>
    <row r="143" spans="2:16" ht="16.5" customHeight="1" thickBot="1" x14ac:dyDescent="0.4">
      <c r="B143" s="10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2"/>
    </row>
    <row r="144" spans="2:16" ht="15" thickTop="1" x14ac:dyDescent="0.35"/>
  </sheetData>
  <mergeCells count="7">
    <mergeCell ref="C113:O113"/>
    <mergeCell ref="C5:O5"/>
    <mergeCell ref="T5:AB5"/>
    <mergeCell ref="C41:O41"/>
    <mergeCell ref="T41:AB41"/>
    <mergeCell ref="C76:O76"/>
    <mergeCell ref="T76:AB76"/>
  </mergeCells>
  <pageMargins left="0.11811023622047245" right="0.11811023622047245" top="0.74803149606299213" bottom="0.74803149606299213" header="0.31496062992125984" footer="0.31496062992125984"/>
  <pageSetup paperSize="9" scale="44" orientation="landscape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rowBreaks count="1" manualBreakCount="1">
    <brk id="7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U142"/>
  <sheetViews>
    <sheetView showGridLines="0" tabSelected="1" topLeftCell="A11" zoomScaleNormal="100" workbookViewId="0">
      <selection activeCell="N29" sqref="N29"/>
    </sheetView>
  </sheetViews>
  <sheetFormatPr defaultColWidth="9.1796875" defaultRowHeight="12.5" x14ac:dyDescent="0.25"/>
  <cols>
    <col min="1" max="1" width="6.26953125" style="20" customWidth="1"/>
    <col min="2" max="2" width="44.7265625" style="22" customWidth="1"/>
    <col min="3" max="3" width="10.54296875" style="22" bestFit="1" customWidth="1"/>
    <col min="4" max="4" width="10.54296875" style="22" customWidth="1"/>
    <col min="5" max="5" width="2.54296875" style="22" customWidth="1"/>
    <col min="6" max="6" width="10" style="20" bestFit="1" customWidth="1"/>
    <col min="7" max="7" width="2.54296875" style="22" customWidth="1"/>
    <col min="8" max="8" width="10.54296875" style="22" bestFit="1" customWidth="1"/>
    <col min="9" max="9" width="10.54296875" style="22" customWidth="1"/>
    <col min="10" max="10" width="2.54296875" style="22" customWidth="1"/>
    <col min="11" max="11" width="10" style="20" bestFit="1" customWidth="1"/>
    <col min="12" max="12" width="2.54296875" style="22" customWidth="1"/>
    <col min="13" max="13" width="11.26953125" style="22" bestFit="1" customWidth="1"/>
    <col min="14" max="14" width="10.54296875" style="22" customWidth="1"/>
    <col min="15" max="15" width="2.54296875" style="22" customWidth="1"/>
    <col min="16" max="16" width="10" style="20" bestFit="1" customWidth="1"/>
    <col min="17" max="17" width="2.54296875" style="22" customWidth="1"/>
    <col min="18" max="18" width="10.54296875" style="22" bestFit="1" customWidth="1"/>
    <col min="19" max="19" width="10.54296875" style="22" customWidth="1"/>
    <col min="20" max="20" width="2.54296875" style="22" customWidth="1"/>
    <col min="21" max="21" width="10" style="20" bestFit="1" customWidth="1"/>
    <col min="22" max="22" width="9" style="22" customWidth="1"/>
    <col min="23" max="23" width="10.453125" style="22" customWidth="1"/>
    <col min="24" max="26" width="9.1796875" style="22"/>
    <col min="27" max="27" width="8.453125" style="22" customWidth="1"/>
    <col min="28" max="28" width="2.453125" style="22" customWidth="1"/>
    <col min="29" max="16384" width="9.1796875" style="22"/>
  </cols>
  <sheetData>
    <row r="2" spans="1:21" ht="26" x14ac:dyDescent="0.6">
      <c r="B2" s="165" t="s">
        <v>93</v>
      </c>
    </row>
    <row r="3" spans="1:21" ht="18" x14ac:dyDescent="0.25">
      <c r="B3" s="21" t="s">
        <v>19</v>
      </c>
    </row>
    <row r="5" spans="1:21" ht="45" customHeight="1" x14ac:dyDescent="0.25">
      <c r="A5" s="23"/>
      <c r="C5" s="166" t="str">
        <f>C$33</f>
        <v>I-II 2026 vs I-II 2025</v>
      </c>
      <c r="D5" s="166"/>
      <c r="E5" s="166"/>
      <c r="F5" s="166"/>
      <c r="H5" s="166" t="str">
        <f>H$33</f>
        <v>III 2026 vs III 2025</v>
      </c>
      <c r="I5" s="166"/>
      <c r="J5" s="166"/>
      <c r="K5" s="166"/>
      <c r="M5" s="166" t="str">
        <f>M$33</f>
        <v>I-III 2026 vs I-III 2025</v>
      </c>
      <c r="N5" s="166"/>
      <c r="O5" s="166"/>
      <c r="P5" s="166"/>
      <c r="U5" s="22"/>
    </row>
    <row r="6" spans="1:21" x14ac:dyDescent="0.25">
      <c r="U6" s="22"/>
    </row>
    <row r="7" spans="1:21" ht="21" x14ac:dyDescent="0.25">
      <c r="A7" s="24"/>
      <c r="C7" s="25" t="str">
        <f>C$35</f>
        <v>I-II 2025</v>
      </c>
      <c r="D7" s="25" t="str">
        <f>D$35</f>
        <v>I-II 2026</v>
      </c>
      <c r="F7" s="25" t="str">
        <f>F$35</f>
        <v>I-II 2026/ 
I-II 2025</v>
      </c>
      <c r="H7" s="25" t="str">
        <f>H$35</f>
        <v>III 2025</v>
      </c>
      <c r="I7" s="25" t="str">
        <f>I$35</f>
        <v>III 2026</v>
      </c>
      <c r="K7" s="25" t="str">
        <f>K$35</f>
        <v>III 26 / 
III 25</v>
      </c>
      <c r="M7" s="25" t="str">
        <f>M$35</f>
        <v>I-III 2025</v>
      </c>
      <c r="N7" s="25" t="str">
        <f>N$35</f>
        <v>I-III 2026</v>
      </c>
      <c r="P7" s="25" t="str">
        <f>P$35</f>
        <v>I-III 26/
I-III 25</v>
      </c>
      <c r="U7" s="22"/>
    </row>
    <row r="8" spans="1:21" s="52" customFormat="1" ht="13" x14ac:dyDescent="0.3">
      <c r="A8" s="40"/>
      <c r="B8" s="27" t="s">
        <v>14</v>
      </c>
      <c r="C8" s="66">
        <f>SUM(C36,C63)</f>
        <v>12135.946685016548</v>
      </c>
      <c r="D8" s="66">
        <f>SUM(D36,D63)</f>
        <v>12738.249559822108</v>
      </c>
      <c r="F8" s="53">
        <f t="shared" ref="F8:F23" si="0">IF(C8,D8/C8-1,"")</f>
        <v>4.9629657284930628E-2</v>
      </c>
      <c r="H8" s="66">
        <f>SUM(H36,H63)</f>
        <v>7566.7734871526955</v>
      </c>
      <c r="I8" s="66">
        <f>SUM(I36,I63)</f>
        <v>9343.6592156246479</v>
      </c>
      <c r="K8" s="53">
        <f t="shared" ref="K8:K23" si="1">IF(H8,I8/H8-1,"")</f>
        <v>0.23482739789804086</v>
      </c>
      <c r="M8" s="66">
        <f>SUM(M36,M63)</f>
        <v>19702.720172169247</v>
      </c>
      <c r="N8" s="66">
        <f>SUM(N36,N63)</f>
        <v>22081.908775446758</v>
      </c>
      <c r="P8" s="53">
        <f t="shared" ref="P8:P23" si="2">IF(M8,N8/M8-1,"")</f>
        <v>0.12075432135701725</v>
      </c>
    </row>
    <row r="9" spans="1:21" s="20" customFormat="1" ht="10" x14ac:dyDescent="0.2">
      <c r="A9" s="26"/>
      <c r="B9" s="54" t="s">
        <v>0</v>
      </c>
      <c r="C9" s="67">
        <f t="shared" ref="C9:D9" si="3">SUM(C37,C64)</f>
        <v>8079.1113507516566</v>
      </c>
      <c r="D9" s="67">
        <f t="shared" si="3"/>
        <v>8347.4558509775215</v>
      </c>
      <c r="F9" s="28">
        <f t="shared" si="0"/>
        <v>3.3214605985211421E-2</v>
      </c>
      <c r="H9" s="67">
        <f t="shared" ref="H9:I9" si="4">SUM(H37,H64)</f>
        <v>4972.9532130051521</v>
      </c>
      <c r="I9" s="67">
        <f t="shared" si="4"/>
        <v>6118.8522685377247</v>
      </c>
      <c r="K9" s="28">
        <f t="shared" si="1"/>
        <v>0.23042626915046061</v>
      </c>
      <c r="M9" s="67">
        <f t="shared" ref="M9:N9" si="5">SUM(M37,M64)</f>
        <v>13052.064563756809</v>
      </c>
      <c r="N9" s="67">
        <f t="shared" si="5"/>
        <v>14466.308119515246</v>
      </c>
      <c r="P9" s="28">
        <f t="shared" si="2"/>
        <v>0.10835401164697989</v>
      </c>
    </row>
    <row r="10" spans="1:21" s="20" customFormat="1" ht="10" x14ac:dyDescent="0.2">
      <c r="A10" s="26"/>
      <c r="B10" s="54" t="s">
        <v>8</v>
      </c>
      <c r="C10" s="67">
        <f t="shared" ref="C10:D10" si="6">SUM(C38,C65)</f>
        <v>1243.026737376078</v>
      </c>
      <c r="D10" s="67">
        <f t="shared" si="6"/>
        <v>1298.1013973087574</v>
      </c>
      <c r="F10" s="28">
        <f t="shared" si="0"/>
        <v>4.4306898859583166E-2</v>
      </c>
      <c r="H10" s="67">
        <f t="shared" ref="H10:I10" si="7">SUM(H38,H65)</f>
        <v>708.49607671411752</v>
      </c>
      <c r="I10" s="67">
        <f t="shared" si="7"/>
        <v>749.96502924544529</v>
      </c>
      <c r="K10" s="28">
        <f t="shared" si="1"/>
        <v>5.8530955772759796E-2</v>
      </c>
      <c r="M10" s="67">
        <f t="shared" ref="M10:N10" si="8">SUM(M38,M65)</f>
        <v>1951.5228140901957</v>
      </c>
      <c r="N10" s="67">
        <f t="shared" si="8"/>
        <v>2048.0664265542027</v>
      </c>
      <c r="P10" s="28">
        <f t="shared" si="2"/>
        <v>4.9470911519430949E-2</v>
      </c>
    </row>
    <row r="11" spans="1:21" x14ac:dyDescent="0.25">
      <c r="A11" s="56"/>
      <c r="B11" s="29" t="s">
        <v>9</v>
      </c>
      <c r="C11" s="68">
        <f t="shared" ref="C11:D11" si="9">SUM(C39,C66)</f>
        <v>2706.5422235143742</v>
      </c>
      <c r="D11" s="68">
        <f t="shared" si="9"/>
        <v>2987.4968691286208</v>
      </c>
      <c r="F11" s="57">
        <f t="shared" si="0"/>
        <v>0.10380575007229487</v>
      </c>
      <c r="H11" s="68">
        <f t="shared" ref="H11:I11" si="10">SUM(H39,H66)</f>
        <v>1798.5762863301691</v>
      </c>
      <c r="I11" s="68">
        <f t="shared" si="10"/>
        <v>2374.5732728819366</v>
      </c>
      <c r="K11" s="57">
        <f t="shared" si="1"/>
        <v>0.32025162954140618</v>
      </c>
      <c r="M11" s="68">
        <f t="shared" ref="M11:N11" si="11">SUM(M39,M66)</f>
        <v>4505.118509844543</v>
      </c>
      <c r="N11" s="68">
        <f t="shared" si="11"/>
        <v>5362.0701420105579</v>
      </c>
      <c r="P11" s="57">
        <f t="shared" si="2"/>
        <v>0.19021733397099583</v>
      </c>
      <c r="U11" s="22"/>
    </row>
    <row r="12" spans="1:21" s="20" customFormat="1" ht="10" x14ac:dyDescent="0.2">
      <c r="A12" s="26"/>
      <c r="B12" s="55" t="s">
        <v>10</v>
      </c>
      <c r="C12" s="67">
        <f t="shared" ref="C12:D12" si="12">SUM(C40,C67)</f>
        <v>587.683012573665</v>
      </c>
      <c r="D12" s="67">
        <f t="shared" si="12"/>
        <v>660.4012117408389</v>
      </c>
      <c r="F12" s="28">
        <f t="shared" si="0"/>
        <v>0.12373711271441401</v>
      </c>
      <c r="H12" s="67">
        <f t="shared" ref="H12:I12" si="13">SUM(H40,H67)</f>
        <v>419.51242841060298</v>
      </c>
      <c r="I12" s="67">
        <f t="shared" si="13"/>
        <v>545.06340859965837</v>
      </c>
      <c r="K12" s="28">
        <f t="shared" si="1"/>
        <v>0.29927833286066763</v>
      </c>
      <c r="M12" s="67">
        <f t="shared" ref="M12:N12" si="14">SUM(M40,M67)</f>
        <v>1007.195440984268</v>
      </c>
      <c r="N12" s="67">
        <f t="shared" si="14"/>
        <v>1205.4646203404973</v>
      </c>
      <c r="P12" s="28">
        <f t="shared" si="2"/>
        <v>0.19685273710380713</v>
      </c>
      <c r="Q12" s="159"/>
    </row>
    <row r="13" spans="1:21" s="20" customFormat="1" ht="10" x14ac:dyDescent="0.2">
      <c r="A13" s="26"/>
      <c r="B13" s="55" t="s">
        <v>4</v>
      </c>
      <c r="C13" s="67">
        <f t="shared" ref="C13:D13" si="15">SUM(C41,C68)</f>
        <v>1256.870686953308</v>
      </c>
      <c r="D13" s="67">
        <f t="shared" si="15"/>
        <v>1490.9114752811613</v>
      </c>
      <c r="F13" s="28">
        <f t="shared" si="0"/>
        <v>0.18620912298875791</v>
      </c>
      <c r="H13" s="67">
        <f t="shared" ref="H13:I13" si="16">SUM(H41,H68)</f>
        <v>778.76450437944175</v>
      </c>
      <c r="I13" s="67">
        <f t="shared" si="16"/>
        <v>1129.1332930752146</v>
      </c>
      <c r="K13" s="28">
        <f t="shared" si="1"/>
        <v>0.44990338764215276</v>
      </c>
      <c r="M13" s="67">
        <f t="shared" ref="M13:N13" si="17">SUM(M41,M68)</f>
        <v>2035.6351913327499</v>
      </c>
      <c r="N13" s="67">
        <f t="shared" si="17"/>
        <v>2620.0447683563762</v>
      </c>
      <c r="P13" s="28">
        <f t="shared" si="2"/>
        <v>0.28708954311258883</v>
      </c>
      <c r="Q13" s="159"/>
    </row>
    <row r="14" spans="1:21" s="20" customFormat="1" ht="10" x14ac:dyDescent="0.2">
      <c r="A14" s="26"/>
      <c r="B14" s="55" t="s">
        <v>11</v>
      </c>
      <c r="C14" s="67">
        <f t="shared" ref="C14:D14" si="18">SUM(C42,C69)</f>
        <v>568.39773961177002</v>
      </c>
      <c r="D14" s="67">
        <f t="shared" si="18"/>
        <v>557.31241490628156</v>
      </c>
      <c r="F14" s="28">
        <f t="shared" si="0"/>
        <v>-1.9502760009320275E-2</v>
      </c>
      <c r="H14" s="67">
        <f t="shared" ref="H14:I14" si="19">SUM(H42,H69)</f>
        <v>440.95559699330056</v>
      </c>
      <c r="I14" s="67">
        <f t="shared" si="19"/>
        <v>410.33924557712771</v>
      </c>
      <c r="K14" s="28">
        <f t="shared" si="1"/>
        <v>-6.943182403156567E-2</v>
      </c>
      <c r="M14" s="67">
        <f t="shared" ref="M14:N14" si="20">SUM(M42,M69)</f>
        <v>1009.3533366050706</v>
      </c>
      <c r="N14" s="67">
        <f t="shared" si="20"/>
        <v>967.65166048340927</v>
      </c>
      <c r="P14" s="28">
        <f t="shared" si="2"/>
        <v>-4.1315240767840211E-2</v>
      </c>
      <c r="Q14" s="159"/>
    </row>
    <row r="15" spans="1:21" s="20" customFormat="1" ht="10" x14ac:dyDescent="0.2">
      <c r="A15" s="26"/>
      <c r="B15" s="55" t="s">
        <v>6</v>
      </c>
      <c r="C15" s="67">
        <f t="shared" ref="C15:D15" si="21">SUM(C43,C70)</f>
        <v>293.59078437563107</v>
      </c>
      <c r="D15" s="67">
        <f t="shared" si="21"/>
        <v>278.87176720033875</v>
      </c>
      <c r="F15" s="28">
        <f t="shared" si="0"/>
        <v>-5.0134465925402716E-2</v>
      </c>
      <c r="H15" s="67">
        <f t="shared" ref="H15:I15" si="22">SUM(H43,H70)</f>
        <v>159.34375654682381</v>
      </c>
      <c r="I15" s="67">
        <f t="shared" si="22"/>
        <v>290.03732562993594</v>
      </c>
      <c r="K15" s="28">
        <f t="shared" si="1"/>
        <v>0.82019887013713833</v>
      </c>
      <c r="M15" s="67">
        <f t="shared" ref="M15:N15" si="23">SUM(M43,M70)</f>
        <v>452.93454092245486</v>
      </c>
      <c r="N15" s="67">
        <f t="shared" si="23"/>
        <v>568.90909283027463</v>
      </c>
      <c r="P15" s="28">
        <f t="shared" si="2"/>
        <v>0.25605146313554239</v>
      </c>
      <c r="Q15" s="159"/>
    </row>
    <row r="16" spans="1:21" s="20" customFormat="1" ht="10" x14ac:dyDescent="0.2">
      <c r="A16" s="26"/>
      <c r="B16" s="54" t="s">
        <v>12</v>
      </c>
      <c r="C16" s="67">
        <f t="shared" ref="C16:D16" si="24">SUM(C44,C71)</f>
        <v>107.26637337444268</v>
      </c>
      <c r="D16" s="67">
        <f t="shared" si="24"/>
        <v>105.19544240720784</v>
      </c>
      <c r="F16" s="28">
        <f t="shared" si="0"/>
        <v>-1.9306432221826819E-2</v>
      </c>
      <c r="H16" s="67">
        <f t="shared" ref="H16:I16" si="25">SUM(H44,H71)</f>
        <v>86.747911103256186</v>
      </c>
      <c r="I16" s="67">
        <f t="shared" si="25"/>
        <v>100.26864495954231</v>
      </c>
      <c r="K16" s="28">
        <f t="shared" si="1"/>
        <v>0.15586235661850556</v>
      </c>
      <c r="M16" s="67">
        <f t="shared" ref="M16:N16" si="26">SUM(M44,M71)</f>
        <v>194.01428447769885</v>
      </c>
      <c r="N16" s="67">
        <f t="shared" si="26"/>
        <v>205.46408736675016</v>
      </c>
      <c r="P16" s="28">
        <f t="shared" si="2"/>
        <v>5.9015257149106493E-2</v>
      </c>
      <c r="Q16" s="159"/>
    </row>
    <row r="17" spans="1:21" s="52" customFormat="1" ht="13" x14ac:dyDescent="0.3">
      <c r="A17" s="58"/>
      <c r="B17" s="27" t="s">
        <v>27</v>
      </c>
      <c r="C17" s="66">
        <f t="shared" ref="C17:D17" si="27">SUM(C45,C72)</f>
        <v>3531.8253942103506</v>
      </c>
      <c r="D17" s="66">
        <f t="shared" si="27"/>
        <v>3261.5109074660295</v>
      </c>
      <c r="F17" s="19">
        <f t="shared" si="0"/>
        <v>-7.6536764016545744E-2</v>
      </c>
      <c r="H17" s="66">
        <f t="shared" ref="H17:I17" si="28">SUM(H45,H72)</f>
        <v>2305.297730228704</v>
      </c>
      <c r="I17" s="66">
        <f t="shared" si="28"/>
        <v>3091.9722813720346</v>
      </c>
      <c r="K17" s="19">
        <f t="shared" si="1"/>
        <v>0.34124639990223127</v>
      </c>
      <c r="M17" s="66">
        <f t="shared" ref="M17:N17" si="29">SUM(M45,M72)</f>
        <v>5837.1231244390547</v>
      </c>
      <c r="N17" s="66">
        <f t="shared" si="29"/>
        <v>6353.4831888380641</v>
      </c>
      <c r="P17" s="19">
        <f t="shared" si="2"/>
        <v>8.8461396717347984E-2</v>
      </c>
    </row>
    <row r="18" spans="1:21" s="52" customFormat="1" ht="13" x14ac:dyDescent="0.3">
      <c r="A18" s="58"/>
      <c r="B18" s="29" t="s">
        <v>24</v>
      </c>
      <c r="C18" s="68">
        <f t="shared" ref="C18:D18" si="30">SUM(C46,C73)</f>
        <v>665.29576097352833</v>
      </c>
      <c r="D18" s="68">
        <f t="shared" si="30"/>
        <v>570.80176219252166</v>
      </c>
      <c r="E18" s="22"/>
      <c r="F18" s="57">
        <f t="shared" si="0"/>
        <v>-0.14203306908604596</v>
      </c>
      <c r="G18" s="22"/>
      <c r="H18" s="68">
        <f t="shared" ref="H18:I18" si="31">SUM(H46,H73)</f>
        <v>446.44405300449887</v>
      </c>
      <c r="I18" s="68">
        <f t="shared" si="31"/>
        <v>641.82355495577065</v>
      </c>
      <c r="J18" s="22"/>
      <c r="K18" s="57">
        <f t="shared" si="1"/>
        <v>0.43763490774801062</v>
      </c>
      <c r="L18" s="22"/>
      <c r="M18" s="68">
        <f t="shared" ref="M18:N18" si="32">SUM(M46,M73)</f>
        <v>1111.7398139780273</v>
      </c>
      <c r="N18" s="68">
        <f t="shared" si="32"/>
        <v>1212.6253171482922</v>
      </c>
      <c r="O18" s="22"/>
      <c r="P18" s="57">
        <f t="shared" si="2"/>
        <v>9.0745606032832882E-2</v>
      </c>
    </row>
    <row r="19" spans="1:21" s="52" customFormat="1" ht="13" x14ac:dyDescent="0.3">
      <c r="A19" s="58"/>
      <c r="B19" s="29" t="s">
        <v>23</v>
      </c>
      <c r="C19" s="68">
        <f t="shared" ref="C19:D19" si="33">SUM(C47,C74)</f>
        <v>898.88108573519662</v>
      </c>
      <c r="D19" s="68">
        <f t="shared" si="33"/>
        <v>646.63991818976274</v>
      </c>
      <c r="E19" s="22"/>
      <c r="F19" s="57">
        <f t="shared" si="0"/>
        <v>-0.2806168374753657</v>
      </c>
      <c r="G19" s="22"/>
      <c r="H19" s="68">
        <f t="shared" ref="H19:I19" si="34">SUM(H47,H74)</f>
        <v>777.32719050073888</v>
      </c>
      <c r="I19" s="68">
        <f t="shared" si="34"/>
        <v>813.60980122672845</v>
      </c>
      <c r="J19" s="22"/>
      <c r="K19" s="57">
        <f t="shared" si="1"/>
        <v>4.6676111641761775E-2</v>
      </c>
      <c r="L19" s="22"/>
      <c r="M19" s="68">
        <f t="shared" ref="M19:N19" si="35">SUM(M47,M74)</f>
        <v>1676.2082762359355</v>
      </c>
      <c r="N19" s="68">
        <f t="shared" si="35"/>
        <v>1460.2497194164912</v>
      </c>
      <c r="O19" s="22"/>
      <c r="P19" s="57">
        <f t="shared" si="2"/>
        <v>-0.12883754356850996</v>
      </c>
    </row>
    <row r="20" spans="1:21" s="52" customFormat="1" ht="13" x14ac:dyDescent="0.3">
      <c r="A20" s="58"/>
      <c r="B20" s="29" t="s">
        <v>13</v>
      </c>
      <c r="C20" s="68">
        <f t="shared" ref="C20:D20" si="36">SUM(C48,C75)</f>
        <v>1967.6485475016257</v>
      </c>
      <c r="D20" s="68">
        <f t="shared" si="36"/>
        <v>2044.0692270837449</v>
      </c>
      <c r="E20" s="22"/>
      <c r="F20" s="57">
        <f t="shared" si="0"/>
        <v>3.8838582062407756E-2</v>
      </c>
      <c r="G20" s="22"/>
      <c r="H20" s="68">
        <f t="shared" ref="H20:I20" si="37">SUM(H48,H75)</f>
        <v>1081.5264867234662</v>
      </c>
      <c r="I20" s="68">
        <f t="shared" si="37"/>
        <v>1636.5389251895358</v>
      </c>
      <c r="J20" s="22"/>
      <c r="K20" s="57">
        <f t="shared" si="1"/>
        <v>0.51317507733676049</v>
      </c>
      <c r="L20" s="22"/>
      <c r="M20" s="68">
        <f t="shared" ref="M20:N20" si="38">SUM(M48,M75)</f>
        <v>3049.1750342250916</v>
      </c>
      <c r="N20" s="68">
        <f t="shared" si="38"/>
        <v>3680.6081522732807</v>
      </c>
      <c r="O20" s="22"/>
      <c r="P20" s="57">
        <f t="shared" si="2"/>
        <v>0.20708326382078601</v>
      </c>
    </row>
    <row r="21" spans="1:21" s="52" customFormat="1" ht="13" x14ac:dyDescent="0.3">
      <c r="A21" s="58"/>
      <c r="B21" s="27" t="s">
        <v>7</v>
      </c>
      <c r="C21" s="66">
        <f t="shared" ref="C21:D21" si="39">SUM(C49,C76)</f>
        <v>207.79195184043357</v>
      </c>
      <c r="D21" s="66">
        <f t="shared" si="39"/>
        <v>200.24448658699586</v>
      </c>
      <c r="F21" s="19">
        <f t="shared" si="0"/>
        <v>-3.6322221272715671E-2</v>
      </c>
      <c r="H21" s="66">
        <f t="shared" ref="H21:I21" si="40">SUM(H49,H76)</f>
        <v>83.615958446149335</v>
      </c>
      <c r="I21" s="66">
        <f t="shared" si="40"/>
        <v>182.35966362103386</v>
      </c>
      <c r="K21" s="19">
        <f t="shared" si="1"/>
        <v>1.180919372448237</v>
      </c>
      <c r="M21" s="66">
        <f t="shared" ref="M21:N21" si="41">SUM(M49,M76)</f>
        <v>291.40791028658293</v>
      </c>
      <c r="N21" s="66">
        <f t="shared" si="41"/>
        <v>382.60415020802975</v>
      </c>
      <c r="P21" s="19">
        <f t="shared" si="2"/>
        <v>0.31295046119976822</v>
      </c>
    </row>
    <row r="22" spans="1:21" s="52" customFormat="1" ht="13" x14ac:dyDescent="0.3">
      <c r="A22" s="58"/>
      <c r="B22" s="27" t="s">
        <v>15</v>
      </c>
      <c r="C22" s="66">
        <f t="shared" ref="C22:D22" si="42">SUM(C50,C77)</f>
        <v>223.30241847878031</v>
      </c>
      <c r="D22" s="66">
        <f t="shared" si="42"/>
        <v>165.06646451175848</v>
      </c>
      <c r="F22" s="19">
        <f t="shared" si="0"/>
        <v>-0.26079410318861285</v>
      </c>
      <c r="H22" s="66">
        <f t="shared" ref="H22:I22" si="43">SUM(H50,H77)</f>
        <v>64.990123536725804</v>
      </c>
      <c r="I22" s="66">
        <f t="shared" si="43"/>
        <v>117.38405653533916</v>
      </c>
      <c r="K22" s="19">
        <f t="shared" si="1"/>
        <v>0.80618300362216777</v>
      </c>
      <c r="M22" s="66">
        <f t="shared" ref="M22:N22" si="44">SUM(M50,M77)</f>
        <v>288.29254201550611</v>
      </c>
      <c r="N22" s="66">
        <f t="shared" si="44"/>
        <v>282.45052104709765</v>
      </c>
      <c r="P22" s="19">
        <f t="shared" si="2"/>
        <v>-2.026421123337363E-2</v>
      </c>
    </row>
    <row r="23" spans="1:21" s="52" customFormat="1" ht="13" x14ac:dyDescent="0.3">
      <c r="A23" s="58"/>
      <c r="B23" s="27" t="s">
        <v>12</v>
      </c>
      <c r="C23" s="66">
        <f t="shared" ref="C23:D23" si="45">SUM(C51,C78)</f>
        <v>62.048364566353385</v>
      </c>
      <c r="D23" s="66">
        <f t="shared" si="45"/>
        <v>44.36345819852346</v>
      </c>
      <c r="F23" s="19">
        <f t="shared" si="0"/>
        <v>-0.28501809018540702</v>
      </c>
      <c r="H23" s="66">
        <f t="shared" ref="H23:I23" si="46">SUM(H51,H78)</f>
        <v>52.273676276909789</v>
      </c>
      <c r="I23" s="66">
        <f t="shared" si="46"/>
        <v>47.971310571676213</v>
      </c>
      <c r="K23" s="19">
        <f t="shared" si="1"/>
        <v>-8.2304632305610581E-2</v>
      </c>
      <c r="M23" s="66">
        <f t="shared" ref="M23:N23" si="47">SUM(M51,M78)</f>
        <v>114.32204084326317</v>
      </c>
      <c r="N23" s="66">
        <f t="shared" si="47"/>
        <v>92.334768770199673</v>
      </c>
      <c r="P23" s="19">
        <f t="shared" si="2"/>
        <v>-0.19232749792499149</v>
      </c>
    </row>
    <row r="24" spans="1:21" ht="11.25" customHeight="1" thickBot="1" x14ac:dyDescent="0.3">
      <c r="A24" s="22"/>
      <c r="F24" s="22"/>
      <c r="K24" s="22"/>
      <c r="P24" s="22"/>
      <c r="U24" s="22"/>
    </row>
    <row r="25" spans="1:21" ht="16" thickBot="1" x14ac:dyDescent="0.3">
      <c r="A25" s="30"/>
      <c r="B25" s="31" t="s">
        <v>18</v>
      </c>
      <c r="C25" s="59">
        <f>SUM(C53,C80)</f>
        <v>16160.914814112466</v>
      </c>
      <c r="D25" s="60">
        <f>SUM(D53,D80)</f>
        <v>16409.434876585416</v>
      </c>
      <c r="F25" s="32">
        <f>IF(C25,D25/C25-1,"")</f>
        <v>1.5377846200632872E-2</v>
      </c>
      <c r="H25" s="59">
        <f>SUM(H53,H80)</f>
        <v>10072.950975641186</v>
      </c>
      <c r="I25" s="60">
        <f>SUM(I53,I80)</f>
        <v>12783.346527724731</v>
      </c>
      <c r="K25" s="32">
        <f>IF(H25,I25/H25-1,"")</f>
        <v>0.26907661504934666</v>
      </c>
      <c r="M25" s="59">
        <f>SUM(M53,M80)</f>
        <v>26233.86578975365</v>
      </c>
      <c r="N25" s="60">
        <f>SUM(N53,N80)</f>
        <v>29192.781404310153</v>
      </c>
      <c r="P25" s="32">
        <f>IF(M25,N25/M25-1,"")</f>
        <v>0.1127899196508122</v>
      </c>
      <c r="U25" s="22"/>
    </row>
    <row r="26" spans="1:21" ht="6" customHeight="1" thickBot="1" x14ac:dyDescent="0.3">
      <c r="A26" s="33"/>
      <c r="B26" s="34"/>
      <c r="C26" s="35"/>
      <c r="D26" s="35"/>
      <c r="E26" s="36"/>
      <c r="F26" s="33"/>
      <c r="G26" s="36"/>
      <c r="H26" s="35"/>
      <c r="I26" s="35"/>
      <c r="J26" s="36"/>
      <c r="K26" s="33"/>
      <c r="L26" s="36"/>
      <c r="M26" s="35"/>
      <c r="N26" s="35"/>
      <c r="O26" s="36"/>
      <c r="P26" s="33"/>
      <c r="U26" s="22"/>
    </row>
    <row r="27" spans="1:21" ht="16.5" customHeight="1" thickBot="1" x14ac:dyDescent="0.3">
      <c r="A27" s="22"/>
      <c r="B27" s="31" t="s">
        <v>35</v>
      </c>
      <c r="C27" s="37"/>
      <c r="D27" s="37"/>
      <c r="E27" s="38"/>
      <c r="F27" s="30"/>
      <c r="G27" s="38"/>
      <c r="H27" s="37"/>
      <c r="I27" s="37"/>
      <c r="J27" s="38"/>
      <c r="K27" s="30"/>
      <c r="L27" s="38"/>
      <c r="M27" s="59">
        <f>SUM(M55,M82)</f>
        <v>132.5020783887604</v>
      </c>
      <c r="N27" s="60">
        <f>SUM(N55,N82)</f>
        <v>10.780179248059817</v>
      </c>
      <c r="P27" s="32">
        <f>IF(M27,N27/M27-1,"")</f>
        <v>-0.91864143280507027</v>
      </c>
      <c r="U27" s="22"/>
    </row>
    <row r="28" spans="1:21" ht="6" customHeight="1" thickBot="1" x14ac:dyDescent="0.3">
      <c r="A28" s="33"/>
      <c r="B28" s="39"/>
      <c r="C28" s="37"/>
      <c r="D28" s="37"/>
      <c r="E28" s="38"/>
      <c r="F28" s="30"/>
      <c r="G28" s="38"/>
      <c r="H28" s="37"/>
      <c r="I28" s="37"/>
      <c r="J28" s="38"/>
      <c r="K28" s="40"/>
      <c r="L28" s="38"/>
      <c r="M28" s="37"/>
      <c r="N28" s="37"/>
      <c r="O28" s="38"/>
      <c r="P28" s="40"/>
      <c r="U28" s="22"/>
    </row>
    <row r="29" spans="1:21" ht="16.5" customHeight="1" thickBot="1" x14ac:dyDescent="0.3">
      <c r="A29" s="22"/>
      <c r="B29" s="31" t="s">
        <v>38</v>
      </c>
      <c r="C29" s="37"/>
      <c r="D29" s="37"/>
      <c r="E29" s="38"/>
      <c r="F29" s="30"/>
      <c r="G29" s="39"/>
      <c r="H29" s="37"/>
      <c r="I29" s="37"/>
      <c r="J29" s="38"/>
      <c r="K29" s="30"/>
      <c r="L29" s="38"/>
      <c r="M29" s="59">
        <f>SUM(M57,M84)</f>
        <v>26366.367868142413</v>
      </c>
      <c r="N29" s="60">
        <f>SUM(N57,N84)</f>
        <v>29203.56158355821</v>
      </c>
      <c r="P29" s="32">
        <f>IF(M29,N29/M29-1,"")</f>
        <v>0.10760654366974376</v>
      </c>
      <c r="U29" s="22"/>
    </row>
    <row r="30" spans="1:21" ht="18" customHeight="1" thickBot="1" x14ac:dyDescent="0.3">
      <c r="A30" s="22"/>
      <c r="B30" s="16"/>
      <c r="C30" s="18"/>
      <c r="D30" s="70"/>
      <c r="E30" s="17"/>
      <c r="F30" s="48"/>
      <c r="G30" s="17"/>
      <c r="H30" s="18"/>
      <c r="I30" s="70"/>
      <c r="J30" s="17"/>
      <c r="K30" s="48"/>
      <c r="L30" s="17"/>
      <c r="M30" s="18">
        <f>M21+M22+M23</f>
        <v>694.0224931453522</v>
      </c>
      <c r="N30" s="18">
        <f>N21+N22+N23</f>
        <v>757.38944002532708</v>
      </c>
      <c r="O30" s="17"/>
      <c r="P30" s="32">
        <f>IF(M30,N30/M30-1,"")</f>
        <v>9.1303880646277147E-2</v>
      </c>
      <c r="U30" s="22"/>
    </row>
    <row r="31" spans="1:21" x14ac:dyDescent="0.25">
      <c r="M31" s="172"/>
      <c r="U31" s="22"/>
    </row>
    <row r="32" spans="1:21" ht="18" x14ac:dyDescent="0.25">
      <c r="B32" s="21" t="s">
        <v>20</v>
      </c>
      <c r="N32" s="22">
        <f>N27/1000</f>
        <v>1.0780179248059817E-2</v>
      </c>
      <c r="U32" s="22"/>
    </row>
    <row r="33" spans="1:21" ht="45" customHeight="1" x14ac:dyDescent="0.25">
      <c r="A33" s="23"/>
      <c r="C33" s="166" t="s">
        <v>78</v>
      </c>
      <c r="D33" s="166"/>
      <c r="E33" s="166"/>
      <c r="F33" s="166"/>
      <c r="H33" s="166" t="s">
        <v>82</v>
      </c>
      <c r="I33" s="166"/>
      <c r="J33" s="166"/>
      <c r="K33" s="166"/>
      <c r="M33" s="166" t="s">
        <v>86</v>
      </c>
      <c r="N33" s="166"/>
      <c r="O33" s="166"/>
      <c r="P33" s="166"/>
      <c r="U33" s="22"/>
    </row>
    <row r="34" spans="1:21" x14ac:dyDescent="0.25">
      <c r="U34" s="22"/>
    </row>
    <row r="35" spans="1:21" ht="21" x14ac:dyDescent="0.25">
      <c r="A35" s="24"/>
      <c r="C35" s="25" t="s">
        <v>79</v>
      </c>
      <c r="D35" s="25" t="s">
        <v>80</v>
      </c>
      <c r="F35" s="25" t="s">
        <v>81</v>
      </c>
      <c r="H35" s="25" t="s">
        <v>83</v>
      </c>
      <c r="I35" s="25" t="s">
        <v>84</v>
      </c>
      <c r="K35" s="25" t="s">
        <v>85</v>
      </c>
      <c r="M35" s="25" t="s">
        <v>87</v>
      </c>
      <c r="N35" s="25" t="s">
        <v>88</v>
      </c>
      <c r="P35" s="25" t="s">
        <v>89</v>
      </c>
      <c r="U35" s="22"/>
    </row>
    <row r="36" spans="1:21" s="52" customFormat="1" ht="13" x14ac:dyDescent="0.3">
      <c r="A36" s="40"/>
      <c r="B36" s="27" t="s">
        <v>14</v>
      </c>
      <c r="C36" s="66">
        <v>11376.150949691431</v>
      </c>
      <c r="D36" s="66">
        <v>11701.296490865217</v>
      </c>
      <c r="F36" s="53">
        <f t="shared" ref="F36:F51" si="48">IF(C36,D36/C36-1,"")</f>
        <v>2.8581331472452565E-2</v>
      </c>
      <c r="H36" s="66">
        <v>7077.6199475486992</v>
      </c>
      <c r="I36" s="66">
        <v>8599.6270934071472</v>
      </c>
      <c r="K36" s="53">
        <f t="shared" ref="K36:K51" si="49">IF(H36,I36/H36-1,"")</f>
        <v>0.21504505146332242</v>
      </c>
      <c r="M36" s="66">
        <v>18453.770897240134</v>
      </c>
      <c r="N36" s="66">
        <v>20300.923584272368</v>
      </c>
      <c r="P36" s="53">
        <f t="shared" ref="P36:P51" si="50">IF(M36,N36/M36-1,"")</f>
        <v>0.10009621867086715</v>
      </c>
    </row>
    <row r="37" spans="1:21" s="20" customFormat="1" ht="10" x14ac:dyDescent="0.2">
      <c r="A37" s="26"/>
      <c r="B37" s="54" t="s">
        <v>0</v>
      </c>
      <c r="C37" s="67">
        <v>7619.0206914980226</v>
      </c>
      <c r="D37" s="67">
        <v>7670.6716567963522</v>
      </c>
      <c r="F37" s="28">
        <f t="shared" si="48"/>
        <v>6.7792131547781409E-3</v>
      </c>
      <c r="H37" s="67">
        <v>4712.3279067085914</v>
      </c>
      <c r="I37" s="67">
        <v>5602.9296754085226</v>
      </c>
      <c r="K37" s="28">
        <f t="shared" si="49"/>
        <v>0.18899401449378073</v>
      </c>
      <c r="M37" s="67">
        <v>12331.348598206614</v>
      </c>
      <c r="N37" s="67">
        <v>13273.601332204875</v>
      </c>
      <c r="P37" s="28">
        <f t="shared" si="50"/>
        <v>7.6411166750674386E-2</v>
      </c>
    </row>
    <row r="38" spans="1:21" s="20" customFormat="1" ht="10" x14ac:dyDescent="0.2">
      <c r="A38" s="26"/>
      <c r="B38" s="54" t="s">
        <v>8</v>
      </c>
      <c r="C38" s="67">
        <v>1177.3381377435744</v>
      </c>
      <c r="D38" s="67">
        <v>1245.8460556188338</v>
      </c>
      <c r="F38" s="28">
        <f t="shared" si="48"/>
        <v>5.8188820763555693E-2</v>
      </c>
      <c r="H38" s="67">
        <v>675.86981353816623</v>
      </c>
      <c r="I38" s="67">
        <v>725.79093871909413</v>
      </c>
      <c r="K38" s="28">
        <f t="shared" si="49"/>
        <v>7.3862042927456351E-2</v>
      </c>
      <c r="M38" s="67">
        <v>1853.2079512817406</v>
      </c>
      <c r="N38" s="67">
        <v>1971.6369943379279</v>
      </c>
      <c r="P38" s="28">
        <f t="shared" si="50"/>
        <v>6.3904886105349279E-2</v>
      </c>
    </row>
    <row r="39" spans="1:21" x14ac:dyDescent="0.25">
      <c r="A39" s="56"/>
      <c r="B39" s="29" t="s">
        <v>9</v>
      </c>
      <c r="C39" s="68">
        <v>2474.8269148293061</v>
      </c>
      <c r="D39" s="68">
        <v>2686.1905290476357</v>
      </c>
      <c r="F39" s="57">
        <f t="shared" si="48"/>
        <v>8.5405412779304468E-2</v>
      </c>
      <c r="H39" s="68">
        <v>1606.7613738308999</v>
      </c>
      <c r="I39" s="68">
        <v>2176.1624968169949</v>
      </c>
      <c r="K39" s="57">
        <f t="shared" si="49"/>
        <v>0.3543781498982066</v>
      </c>
      <c r="M39" s="68">
        <v>4081.5882886602058</v>
      </c>
      <c r="N39" s="68">
        <v>4862.3530258646306</v>
      </c>
      <c r="P39" s="57">
        <f t="shared" si="50"/>
        <v>0.19128943979323143</v>
      </c>
      <c r="U39" s="22"/>
    </row>
    <row r="40" spans="1:21" s="20" customFormat="1" ht="10" x14ac:dyDescent="0.2">
      <c r="A40" s="26"/>
      <c r="B40" s="55" t="s">
        <v>10</v>
      </c>
      <c r="C40" s="67">
        <v>560.39390895998349</v>
      </c>
      <c r="D40" s="67">
        <v>625.00243802435489</v>
      </c>
      <c r="F40" s="28">
        <f t="shared" si="48"/>
        <v>0.11529127642424997</v>
      </c>
      <c r="H40" s="67">
        <v>394.10596974899954</v>
      </c>
      <c r="I40" s="67">
        <v>528.43846077586431</v>
      </c>
      <c r="K40" s="28">
        <f t="shared" si="49"/>
        <v>0.34085373310234113</v>
      </c>
      <c r="M40" s="67">
        <v>954.49987870898303</v>
      </c>
      <c r="N40" s="67">
        <v>1153.4408988002192</v>
      </c>
      <c r="P40" s="28">
        <f t="shared" si="50"/>
        <v>0.20842435345336607</v>
      </c>
    </row>
    <row r="41" spans="1:21" s="20" customFormat="1" ht="10" x14ac:dyDescent="0.2">
      <c r="A41" s="26"/>
      <c r="B41" s="55" t="s">
        <v>4</v>
      </c>
      <c r="C41" s="67">
        <v>1124.0409550693844</v>
      </c>
      <c r="D41" s="67">
        <v>1314.3550374540714</v>
      </c>
      <c r="F41" s="28">
        <f t="shared" si="48"/>
        <v>0.16931240941566883</v>
      </c>
      <c r="H41" s="67">
        <v>681.14061142591049</v>
      </c>
      <c r="I41" s="67">
        <v>991.24421134864951</v>
      </c>
      <c r="K41" s="28">
        <f t="shared" si="49"/>
        <v>0.45527104788769424</v>
      </c>
      <c r="M41" s="67">
        <v>1805.1815664952949</v>
      </c>
      <c r="N41" s="67">
        <v>2305.5992488027209</v>
      </c>
      <c r="P41" s="28">
        <f t="shared" si="50"/>
        <v>0.27721182821458323</v>
      </c>
    </row>
    <row r="42" spans="1:21" s="20" customFormat="1" ht="10" x14ac:dyDescent="0.2">
      <c r="A42" s="26"/>
      <c r="B42" s="55" t="s">
        <v>11</v>
      </c>
      <c r="C42" s="67">
        <v>514.36683678967233</v>
      </c>
      <c r="D42" s="67">
        <v>486.20033743317964</v>
      </c>
      <c r="F42" s="28">
        <f t="shared" si="48"/>
        <v>-5.475955551934264E-2</v>
      </c>
      <c r="H42" s="67">
        <v>388.82039569788913</v>
      </c>
      <c r="I42" s="67">
        <v>369.56845627672391</v>
      </c>
      <c r="K42" s="28">
        <f t="shared" si="49"/>
        <v>-4.9513707702010135E-2</v>
      </c>
      <c r="M42" s="67">
        <v>903.18723248756146</v>
      </c>
      <c r="N42" s="67">
        <v>855.76879370990355</v>
      </c>
      <c r="P42" s="28">
        <f t="shared" si="50"/>
        <v>-5.2501227953652418E-2</v>
      </c>
    </row>
    <row r="43" spans="1:21" s="20" customFormat="1" ht="10" x14ac:dyDescent="0.2">
      <c r="A43" s="26"/>
      <c r="B43" s="55" t="s">
        <v>6</v>
      </c>
      <c r="C43" s="67">
        <v>276.02521401026598</v>
      </c>
      <c r="D43" s="67">
        <v>260.63271613602944</v>
      </c>
      <c r="F43" s="28">
        <f t="shared" si="48"/>
        <v>-5.5764825432447873E-2</v>
      </c>
      <c r="H43" s="67">
        <v>142.69439695810064</v>
      </c>
      <c r="I43" s="67">
        <v>286.91136841575724</v>
      </c>
      <c r="K43" s="28">
        <f t="shared" si="49"/>
        <v>1.0106701771899496</v>
      </c>
      <c r="M43" s="67">
        <v>418.71961096836662</v>
      </c>
      <c r="N43" s="67">
        <v>547.54408455178668</v>
      </c>
      <c r="P43" s="28">
        <f t="shared" si="50"/>
        <v>0.30766286127723896</v>
      </c>
    </row>
    <row r="44" spans="1:21" s="20" customFormat="1" ht="10" x14ac:dyDescent="0.2">
      <c r="A44" s="26"/>
      <c r="B44" s="54" t="s">
        <v>12</v>
      </c>
      <c r="C44" s="67">
        <v>104.96520562053078</v>
      </c>
      <c r="D44" s="67">
        <v>98.588249402395164</v>
      </c>
      <c r="F44" s="28">
        <f t="shared" si="48"/>
        <v>-6.0753048407198196E-2</v>
      </c>
      <c r="H44" s="67">
        <v>82.660853471041207</v>
      </c>
      <c r="I44" s="67">
        <v>94.743982462537062</v>
      </c>
      <c r="K44" s="28">
        <f t="shared" si="49"/>
        <v>0.14617716227342092</v>
      </c>
      <c r="M44" s="67">
        <v>187.62605909157199</v>
      </c>
      <c r="N44" s="67">
        <v>193.33223186493223</v>
      </c>
      <c r="P44" s="28">
        <f t="shared" si="50"/>
        <v>3.0412474690284297E-2</v>
      </c>
    </row>
    <row r="45" spans="1:21" s="52" customFormat="1" ht="13" x14ac:dyDescent="0.3">
      <c r="A45" s="58"/>
      <c r="B45" s="27" t="s">
        <v>27</v>
      </c>
      <c r="C45" s="66">
        <v>2334.2723913578202</v>
      </c>
      <c r="D45" s="66">
        <v>2218.4175652531403</v>
      </c>
      <c r="F45" s="19">
        <f t="shared" si="48"/>
        <v>-4.9632093723769977E-2</v>
      </c>
      <c r="H45" s="66">
        <v>1303.7715684283985</v>
      </c>
      <c r="I45" s="66">
        <v>1531.1353574374546</v>
      </c>
      <c r="K45" s="19">
        <f t="shared" si="49"/>
        <v>0.17438928299619727</v>
      </c>
      <c r="M45" s="66">
        <v>3638.0439597862187</v>
      </c>
      <c r="N45" s="66">
        <v>3749.5529226905946</v>
      </c>
      <c r="P45" s="19">
        <f t="shared" si="50"/>
        <v>3.0650801402336114E-2</v>
      </c>
    </row>
    <row r="46" spans="1:21" s="52" customFormat="1" ht="13" x14ac:dyDescent="0.3">
      <c r="A46" s="58"/>
      <c r="B46" s="29" t="s">
        <v>24</v>
      </c>
      <c r="C46" s="68">
        <v>574.31412055058058</v>
      </c>
      <c r="D46" s="68">
        <v>507.32348579104087</v>
      </c>
      <c r="E46" s="22"/>
      <c r="F46" s="57">
        <f t="shared" si="48"/>
        <v>-0.11664458936743094</v>
      </c>
      <c r="G46" s="22"/>
      <c r="H46" s="68">
        <v>388.08744229096351</v>
      </c>
      <c r="I46" s="68">
        <v>432.51935456315653</v>
      </c>
      <c r="J46" s="22"/>
      <c r="K46" s="57">
        <f t="shared" si="49"/>
        <v>0.11448943570526771</v>
      </c>
      <c r="L46" s="22"/>
      <c r="M46" s="68">
        <v>962.40156284154409</v>
      </c>
      <c r="N46" s="68">
        <v>939.84284035419739</v>
      </c>
      <c r="O46" s="22"/>
      <c r="P46" s="57">
        <f t="shared" si="50"/>
        <v>-2.3440031020669605E-2</v>
      </c>
    </row>
    <row r="47" spans="1:21" s="52" customFormat="1" ht="13" x14ac:dyDescent="0.3">
      <c r="A47" s="58"/>
      <c r="B47" s="29" t="s">
        <v>23</v>
      </c>
      <c r="C47" s="68">
        <v>185.67416666658318</v>
      </c>
      <c r="D47" s="68">
        <v>165.03398827154325</v>
      </c>
      <c r="E47" s="22"/>
      <c r="F47" s="57">
        <f t="shared" si="48"/>
        <v>-0.11116343627976899</v>
      </c>
      <c r="G47" s="22"/>
      <c r="H47" s="68">
        <v>84.87647233204666</v>
      </c>
      <c r="I47" s="68">
        <v>172.59635336293144</v>
      </c>
      <c r="J47" s="22"/>
      <c r="K47" s="57">
        <f t="shared" si="49"/>
        <v>1.0335005522816072</v>
      </c>
      <c r="L47" s="22"/>
      <c r="M47" s="68">
        <v>270.55063899862984</v>
      </c>
      <c r="N47" s="68">
        <v>337.63034163447469</v>
      </c>
      <c r="O47" s="22"/>
      <c r="P47" s="57">
        <f t="shared" si="50"/>
        <v>0.24793769803731491</v>
      </c>
    </row>
    <row r="48" spans="1:21" s="52" customFormat="1" ht="13" x14ac:dyDescent="0.3">
      <c r="A48" s="58"/>
      <c r="B48" s="29" t="s">
        <v>13</v>
      </c>
      <c r="C48" s="68">
        <v>1574.2841041406564</v>
      </c>
      <c r="D48" s="68">
        <v>1546.060091190556</v>
      </c>
      <c r="E48" s="22"/>
      <c r="F48" s="57">
        <f t="shared" si="48"/>
        <v>-1.7928157234050723E-2</v>
      </c>
      <c r="G48" s="22"/>
      <c r="H48" s="68">
        <v>830.80765380538833</v>
      </c>
      <c r="I48" s="68">
        <v>926.01964951136665</v>
      </c>
      <c r="J48" s="22"/>
      <c r="K48" s="57">
        <f t="shared" si="49"/>
        <v>0.11460173154384679</v>
      </c>
      <c r="L48" s="22"/>
      <c r="M48" s="68">
        <v>2405.0917579460447</v>
      </c>
      <c r="N48" s="68">
        <v>2472.0797407019227</v>
      </c>
      <c r="O48" s="22"/>
      <c r="P48" s="57">
        <f t="shared" si="50"/>
        <v>2.7852568424701518E-2</v>
      </c>
    </row>
    <row r="49" spans="1:21" s="52" customFormat="1" ht="13" x14ac:dyDescent="0.3">
      <c r="A49" s="58"/>
      <c r="B49" s="27" t="s">
        <v>7</v>
      </c>
      <c r="C49" s="66">
        <v>160.18388141033444</v>
      </c>
      <c r="D49" s="66">
        <v>114.62193035707847</v>
      </c>
      <c r="F49" s="19">
        <f t="shared" si="48"/>
        <v>-0.28443530430219988</v>
      </c>
      <c r="H49" s="66">
        <v>65.398053327646608</v>
      </c>
      <c r="I49" s="66">
        <v>146.33896834458025</v>
      </c>
      <c r="K49" s="19">
        <f t="shared" si="49"/>
        <v>1.2376655098801908</v>
      </c>
      <c r="M49" s="66">
        <v>225.58193473798104</v>
      </c>
      <c r="N49" s="66">
        <v>260.96089870165872</v>
      </c>
      <c r="P49" s="19">
        <f t="shared" si="50"/>
        <v>0.15683420751210075</v>
      </c>
    </row>
    <row r="50" spans="1:21" s="52" customFormat="1" ht="13" x14ac:dyDescent="0.3">
      <c r="A50" s="58"/>
      <c r="B50" s="27" t="s">
        <v>15</v>
      </c>
      <c r="C50" s="66">
        <v>204.02396022171786</v>
      </c>
      <c r="D50" s="66">
        <v>119.21177131548848</v>
      </c>
      <c r="F50" s="19">
        <f t="shared" si="48"/>
        <v>-0.41569719955470863</v>
      </c>
      <c r="H50" s="66">
        <v>59.847416695514369</v>
      </c>
      <c r="I50" s="66">
        <v>90.313945758350741</v>
      </c>
      <c r="K50" s="19">
        <f t="shared" si="49"/>
        <v>0.50907007762491907</v>
      </c>
      <c r="M50" s="66">
        <v>263.87137691723223</v>
      </c>
      <c r="N50" s="66">
        <v>209.52571707383922</v>
      </c>
      <c r="P50" s="19">
        <f t="shared" si="50"/>
        <v>-0.20595511524707533</v>
      </c>
    </row>
    <row r="51" spans="1:21" s="52" customFormat="1" ht="13" x14ac:dyDescent="0.3">
      <c r="A51" s="58"/>
      <c r="B51" s="27" t="s">
        <v>12</v>
      </c>
      <c r="C51" s="66">
        <v>53.946348305231496</v>
      </c>
      <c r="D51" s="66">
        <v>34.378348311683737</v>
      </c>
      <c r="F51" s="19">
        <f t="shared" si="48"/>
        <v>-0.36273076136369609</v>
      </c>
      <c r="H51" s="66">
        <v>47.537098557243894</v>
      </c>
      <c r="I51" s="66">
        <v>39.44738488644245</v>
      </c>
      <c r="K51" s="19">
        <f t="shared" si="49"/>
        <v>-0.17017684958327561</v>
      </c>
      <c r="M51" s="66">
        <v>101.48344686247539</v>
      </c>
      <c r="N51" s="66">
        <v>73.825733198126187</v>
      </c>
      <c r="P51" s="19">
        <f t="shared" si="50"/>
        <v>-0.27253423606935001</v>
      </c>
    </row>
    <row r="52" spans="1:21" ht="11.25" customHeight="1" thickBot="1" x14ac:dyDescent="0.3">
      <c r="A52" s="22"/>
      <c r="F52" s="22"/>
      <c r="K52" s="22"/>
      <c r="P52" s="22"/>
      <c r="U52" s="22"/>
    </row>
    <row r="53" spans="1:21" ht="16" thickBot="1" x14ac:dyDescent="0.3">
      <c r="A53" s="30"/>
      <c r="B53" s="31" t="s">
        <v>16</v>
      </c>
      <c r="C53" s="59">
        <v>14128.577530986535</v>
      </c>
      <c r="D53" s="60">
        <v>14187.92610610261</v>
      </c>
      <c r="F53" s="32">
        <f>IF(C53,D53/C53-1,"")</f>
        <v>4.2006051200775829E-3</v>
      </c>
      <c r="H53" s="59">
        <v>8554.1740845575041</v>
      </c>
      <c r="I53" s="60">
        <v>10406.862749833976</v>
      </c>
      <c r="K53" s="32">
        <f>IF(H53,I53/H53-1,"")</f>
        <v>0.21658299760593525</v>
      </c>
      <c r="M53" s="59">
        <v>22682.751615544039</v>
      </c>
      <c r="N53" s="60">
        <v>24594.788855936589</v>
      </c>
      <c r="P53" s="32">
        <f>IF(M53,N53/M53-1,"")</f>
        <v>8.4294766031924873E-2</v>
      </c>
      <c r="U53" s="22"/>
    </row>
    <row r="54" spans="1:21" ht="6" customHeight="1" thickBot="1" x14ac:dyDescent="0.3">
      <c r="A54" s="33"/>
      <c r="B54" s="34"/>
      <c r="C54" s="35"/>
      <c r="D54" s="35"/>
      <c r="E54" s="36"/>
      <c r="F54" s="33"/>
      <c r="G54" s="36"/>
      <c r="H54" s="35"/>
      <c r="I54" s="35"/>
      <c r="J54" s="36"/>
      <c r="K54" s="33"/>
      <c r="L54" s="36"/>
      <c r="M54" s="35"/>
      <c r="N54" s="35"/>
      <c r="O54" s="36"/>
      <c r="P54" s="33"/>
      <c r="U54" s="22"/>
    </row>
    <row r="55" spans="1:21" ht="16.5" customHeight="1" thickBot="1" x14ac:dyDescent="0.3">
      <c r="A55" s="22"/>
      <c r="B55" s="31" t="s">
        <v>35</v>
      </c>
      <c r="C55" s="37"/>
      <c r="D55" s="37"/>
      <c r="E55" s="38"/>
      <c r="F55" s="30"/>
      <c r="G55" s="38"/>
      <c r="H55" s="37"/>
      <c r="I55" s="37"/>
      <c r="J55" s="38"/>
      <c r="K55" s="30"/>
      <c r="L55" s="38"/>
      <c r="M55" s="59">
        <v>118.40734862222222</v>
      </c>
      <c r="N55" s="60">
        <v>8.35</v>
      </c>
      <c r="P55" s="32">
        <f>IF(M55,N55/M55-1,"")</f>
        <v>-0.9294807282051335</v>
      </c>
      <c r="U55" s="22"/>
    </row>
    <row r="56" spans="1:21" ht="6" customHeight="1" thickBot="1" x14ac:dyDescent="0.3">
      <c r="A56" s="33"/>
      <c r="B56" s="39"/>
      <c r="C56" s="37"/>
      <c r="D56" s="37"/>
      <c r="E56" s="38"/>
      <c r="F56" s="30"/>
      <c r="G56" s="38"/>
      <c r="H56" s="37"/>
      <c r="I56" s="37"/>
      <c r="J56" s="38"/>
      <c r="K56" s="40"/>
      <c r="L56" s="38"/>
      <c r="M56" s="37"/>
      <c r="N56" s="37"/>
      <c r="O56" s="38"/>
      <c r="P56" s="40"/>
      <c r="U56" s="22"/>
    </row>
    <row r="57" spans="1:21" ht="16.5" customHeight="1" collapsed="1" thickBot="1" x14ac:dyDescent="0.3">
      <c r="A57" s="22"/>
      <c r="B57" s="31" t="s">
        <v>36</v>
      </c>
      <c r="C57" s="37"/>
      <c r="D57" s="37"/>
      <c r="E57" s="38"/>
      <c r="F57" s="30"/>
      <c r="G57" s="39"/>
      <c r="H57" s="37"/>
      <c r="I57" s="37"/>
      <c r="J57" s="38"/>
      <c r="K57" s="30"/>
      <c r="L57" s="38"/>
      <c r="M57" s="59">
        <v>22801.158964166261</v>
      </c>
      <c r="N57" s="60">
        <v>24603.138855936588</v>
      </c>
      <c r="P57" s="32">
        <f>IF(M57,N57/M57-1,"")</f>
        <v>7.9030188535691215E-2</v>
      </c>
      <c r="U57" s="22"/>
    </row>
    <row r="58" spans="1:21" ht="18" customHeight="1" x14ac:dyDescent="0.25">
      <c r="A58" s="22"/>
      <c r="B58" s="41"/>
      <c r="C58" s="42"/>
      <c r="D58" s="43"/>
      <c r="F58" s="44"/>
      <c r="H58" s="42"/>
      <c r="I58" s="43"/>
      <c r="K58" s="44"/>
      <c r="M58" s="42"/>
      <c r="N58" s="43"/>
      <c r="P58" s="44"/>
      <c r="U58" s="22"/>
    </row>
    <row r="59" spans="1:21" x14ac:dyDescent="0.25">
      <c r="U59" s="22"/>
    </row>
    <row r="60" spans="1:21" ht="18" x14ac:dyDescent="0.25">
      <c r="B60" s="21" t="s">
        <v>21</v>
      </c>
      <c r="U60" s="22"/>
    </row>
    <row r="61" spans="1:21" ht="45" customHeight="1" x14ac:dyDescent="0.25">
      <c r="A61" s="23"/>
      <c r="C61" s="167" t="str">
        <f>C$33</f>
        <v>I-II 2026 vs I-II 2025</v>
      </c>
      <c r="D61" s="167"/>
      <c r="E61" s="167"/>
      <c r="F61" s="167"/>
      <c r="H61" s="167" t="str">
        <f>H$33</f>
        <v>III 2026 vs III 2025</v>
      </c>
      <c r="I61" s="167"/>
      <c r="J61" s="167"/>
      <c r="K61" s="167"/>
      <c r="M61" s="167" t="str">
        <f>M$33</f>
        <v>I-III 2026 vs I-III 2025</v>
      </c>
      <c r="N61" s="167"/>
      <c r="O61" s="167"/>
      <c r="P61" s="167"/>
      <c r="U61" s="22"/>
    </row>
    <row r="62" spans="1:21" ht="21" x14ac:dyDescent="0.25">
      <c r="A62" s="24"/>
      <c r="C62" s="25" t="str">
        <f>C$35</f>
        <v>I-II 2025</v>
      </c>
      <c r="D62" s="25" t="str">
        <f>D$35</f>
        <v>I-II 2026</v>
      </c>
      <c r="F62" s="25" t="str">
        <f>F$35</f>
        <v>I-II 2026/ 
I-II 2025</v>
      </c>
      <c r="H62" s="25" t="str">
        <f>H$35</f>
        <v>III 2025</v>
      </c>
      <c r="I62" s="25" t="str">
        <f>I$35</f>
        <v>III 2026</v>
      </c>
      <c r="K62" s="25" t="str">
        <f>K$35</f>
        <v>III 26 / 
III 25</v>
      </c>
      <c r="M62" s="25" t="str">
        <f>M$35</f>
        <v>I-III 2025</v>
      </c>
      <c r="N62" s="25" t="str">
        <f>N$35</f>
        <v>I-III 2026</v>
      </c>
      <c r="P62" s="25" t="str">
        <f>P$35</f>
        <v>I-III 26/
I-III 25</v>
      </c>
      <c r="U62" s="22"/>
    </row>
    <row r="63" spans="1:21" s="52" customFormat="1" ht="13" x14ac:dyDescent="0.3">
      <c r="A63" s="40"/>
      <c r="B63" s="27" t="s">
        <v>14</v>
      </c>
      <c r="C63" s="66">
        <v>759.79573532511711</v>
      </c>
      <c r="D63" s="66">
        <v>1036.9530689568912</v>
      </c>
      <c r="F63" s="53">
        <f t="shared" ref="F63:F78" si="51">IF(C63,D63/C63-1,"")</f>
        <v>0.36477874347791417</v>
      </c>
      <c r="H63" s="66">
        <v>489.1535396039958</v>
      </c>
      <c r="I63" s="66">
        <v>744.03212221750005</v>
      </c>
      <c r="K63" s="53">
        <f t="shared" ref="K63:K78" si="52">IF(H63,I63/H63-1,"")</f>
        <v>0.52106048914589564</v>
      </c>
      <c r="M63" s="66">
        <v>1248.9492749291128</v>
      </c>
      <c r="N63" s="66">
        <v>1780.9851911743915</v>
      </c>
      <c r="P63" s="53">
        <f t="shared" ref="P63:P78" si="53">IF(M63,N63/M63-1,"")</f>
        <v>0.42598680901230024</v>
      </c>
    </row>
    <row r="64" spans="1:21" s="20" customFormat="1" ht="10" x14ac:dyDescent="0.2">
      <c r="A64" s="26"/>
      <c r="B64" s="54" t="s">
        <v>0</v>
      </c>
      <c r="C64" s="67">
        <v>460.09065925363376</v>
      </c>
      <c r="D64" s="67">
        <v>676.78419418116994</v>
      </c>
      <c r="F64" s="28">
        <f t="shared" si="51"/>
        <v>0.4709800787502616</v>
      </c>
      <c r="H64" s="67">
        <v>260.62530629656027</v>
      </c>
      <c r="I64" s="67">
        <v>515.9225931292018</v>
      </c>
      <c r="K64" s="28">
        <f t="shared" si="52"/>
        <v>0.97955678387632816</v>
      </c>
      <c r="M64" s="67">
        <v>720.71596555019403</v>
      </c>
      <c r="N64" s="67">
        <v>1192.7067873103717</v>
      </c>
      <c r="P64" s="28">
        <f t="shared" si="53"/>
        <v>0.65489158603536723</v>
      </c>
    </row>
    <row r="65" spans="1:21" s="20" customFormat="1" ht="10" x14ac:dyDescent="0.2">
      <c r="A65" s="26"/>
      <c r="B65" s="54" t="s">
        <v>8</v>
      </c>
      <c r="C65" s="67">
        <v>65.688599632503667</v>
      </c>
      <c r="D65" s="67">
        <v>52.255341689923576</v>
      </c>
      <c r="F65" s="28">
        <f t="shared" si="51"/>
        <v>-0.20449907621311392</v>
      </c>
      <c r="H65" s="67">
        <v>32.626263175951294</v>
      </c>
      <c r="I65" s="67">
        <v>24.174090526351144</v>
      </c>
      <c r="K65" s="28">
        <f t="shared" si="52"/>
        <v>-0.25906039573144302</v>
      </c>
      <c r="M65" s="67">
        <v>98.314862808454961</v>
      </c>
      <c r="N65" s="67">
        <v>76.429432216274719</v>
      </c>
      <c r="P65" s="28">
        <f t="shared" si="53"/>
        <v>-0.22260551423256547</v>
      </c>
    </row>
    <row r="66" spans="1:21" x14ac:dyDescent="0.25">
      <c r="A66" s="56"/>
      <c r="B66" s="29" t="s">
        <v>9</v>
      </c>
      <c r="C66" s="68">
        <v>231.71530868506784</v>
      </c>
      <c r="D66" s="68">
        <v>301.30634008098519</v>
      </c>
      <c r="F66" s="57">
        <f t="shared" si="51"/>
        <v>0.30032988234929658</v>
      </c>
      <c r="H66" s="68">
        <v>191.8149124992693</v>
      </c>
      <c r="I66" s="68">
        <v>198.41077606494179</v>
      </c>
      <c r="K66" s="57">
        <f t="shared" si="52"/>
        <v>3.438660466869381E-2</v>
      </c>
      <c r="M66" s="68">
        <v>423.53022118433717</v>
      </c>
      <c r="N66" s="68">
        <v>499.71711614592704</v>
      </c>
      <c r="P66" s="57">
        <f t="shared" si="53"/>
        <v>0.17988538043057445</v>
      </c>
      <c r="U66" s="22"/>
    </row>
    <row r="67" spans="1:21" s="20" customFormat="1" ht="10" x14ac:dyDescent="0.2">
      <c r="A67" s="26"/>
      <c r="B67" s="55" t="s">
        <v>10</v>
      </c>
      <c r="C67" s="67">
        <v>27.289103613681469</v>
      </c>
      <c r="D67" s="67">
        <v>35.398773716484015</v>
      </c>
      <c r="F67" s="28">
        <f t="shared" si="51"/>
        <v>0.29717612632526125</v>
      </c>
      <c r="H67" s="67">
        <v>25.406458661603452</v>
      </c>
      <c r="I67" s="67">
        <v>16.624947823794095</v>
      </c>
      <c r="K67" s="28">
        <f t="shared" si="52"/>
        <v>-0.34564088426384165</v>
      </c>
      <c r="M67" s="67">
        <v>52.695562275284921</v>
      </c>
      <c r="N67" s="67">
        <v>52.02372154027811</v>
      </c>
      <c r="P67" s="28">
        <f t="shared" si="53"/>
        <v>-1.2749474642609782E-2</v>
      </c>
    </row>
    <row r="68" spans="1:21" s="20" customFormat="1" ht="10" x14ac:dyDescent="0.2">
      <c r="A68" s="26"/>
      <c r="B68" s="55" t="s">
        <v>4</v>
      </c>
      <c r="C68" s="67">
        <v>132.82973188392367</v>
      </c>
      <c r="D68" s="67">
        <v>176.55643782708995</v>
      </c>
      <c r="F68" s="28">
        <f t="shared" si="51"/>
        <v>0.32919366261597127</v>
      </c>
      <c r="H68" s="67">
        <v>97.623892953531254</v>
      </c>
      <c r="I68" s="67">
        <v>137.88908172656522</v>
      </c>
      <c r="K68" s="28">
        <f t="shared" si="52"/>
        <v>0.41245219336008354</v>
      </c>
      <c r="M68" s="67">
        <v>230.45362483745492</v>
      </c>
      <c r="N68" s="67">
        <v>314.44551955365517</v>
      </c>
      <c r="P68" s="28">
        <f t="shared" si="53"/>
        <v>0.36446332651717661</v>
      </c>
    </row>
    <row r="69" spans="1:21" s="20" customFormat="1" ht="10" x14ac:dyDescent="0.2">
      <c r="A69" s="26"/>
      <c r="B69" s="55" t="s">
        <v>11</v>
      </c>
      <c r="C69" s="67">
        <v>54.030902822097637</v>
      </c>
      <c r="D69" s="67">
        <v>71.112077473101891</v>
      </c>
      <c r="F69" s="28">
        <f t="shared" si="51"/>
        <v>0.31613713187887682</v>
      </c>
      <c r="H69" s="67">
        <v>52.135201295411427</v>
      </c>
      <c r="I69" s="67">
        <v>40.770789300403806</v>
      </c>
      <c r="K69" s="28">
        <f t="shared" si="52"/>
        <v>-0.2179796320458024</v>
      </c>
      <c r="M69" s="67">
        <v>106.16610411750906</v>
      </c>
      <c r="N69" s="67">
        <v>111.8828667735057</v>
      </c>
      <c r="P69" s="28">
        <f t="shared" si="53"/>
        <v>5.3847343307135809E-2</v>
      </c>
    </row>
    <row r="70" spans="1:21" s="20" customFormat="1" ht="10" x14ac:dyDescent="0.2">
      <c r="A70" s="26"/>
      <c r="B70" s="55" t="s">
        <v>6</v>
      </c>
      <c r="C70" s="67">
        <v>17.565570365365076</v>
      </c>
      <c r="D70" s="67">
        <v>18.239051064309322</v>
      </c>
      <c r="F70" s="28">
        <f t="shared" si="51"/>
        <v>3.8340952496036307E-2</v>
      </c>
      <c r="H70" s="67">
        <v>16.649359588723172</v>
      </c>
      <c r="I70" s="67">
        <v>3.1259572141786833</v>
      </c>
      <c r="K70" s="28">
        <f t="shared" si="52"/>
        <v>-0.81224760042446709</v>
      </c>
      <c r="M70" s="67">
        <v>34.214929954088248</v>
      </c>
      <c r="N70" s="67">
        <v>21.365008278488006</v>
      </c>
      <c r="P70" s="28">
        <f t="shared" si="53"/>
        <v>-0.37556475178651771</v>
      </c>
    </row>
    <row r="71" spans="1:21" s="20" customFormat="1" ht="10" x14ac:dyDescent="0.2">
      <c r="A71" s="26"/>
      <c r="B71" s="54" t="s">
        <v>12</v>
      </c>
      <c r="C71" s="67">
        <v>2.3011677539118969</v>
      </c>
      <c r="D71" s="67">
        <v>6.6071930048126717</v>
      </c>
      <c r="F71" s="28">
        <f t="shared" si="51"/>
        <v>1.8712348300469173</v>
      </c>
      <c r="H71" s="67">
        <v>4.0870576322149761</v>
      </c>
      <c r="I71" s="67">
        <v>5.5246624970052576</v>
      </c>
      <c r="K71" s="28">
        <f t="shared" si="52"/>
        <v>0.35174567969357784</v>
      </c>
      <c r="M71" s="67">
        <v>6.388225386126873</v>
      </c>
      <c r="N71" s="67">
        <v>12.131855501817929</v>
      </c>
      <c r="P71" s="28">
        <f t="shared" si="53"/>
        <v>0.89909634812890826</v>
      </c>
    </row>
    <row r="72" spans="1:21" s="52" customFormat="1" ht="13" x14ac:dyDescent="0.3">
      <c r="A72" s="58"/>
      <c r="B72" s="27" t="s">
        <v>27</v>
      </c>
      <c r="C72" s="66">
        <v>1197.5530028525304</v>
      </c>
      <c r="D72" s="66">
        <v>1043.0933422128892</v>
      </c>
      <c r="F72" s="19">
        <f t="shared" si="51"/>
        <v>-0.12897939404078451</v>
      </c>
      <c r="H72" s="66">
        <v>1001.5261618003054</v>
      </c>
      <c r="I72" s="66">
        <v>1560.8369239345802</v>
      </c>
      <c r="K72" s="19">
        <f t="shared" si="52"/>
        <v>0.55845846415921785</v>
      </c>
      <c r="M72" s="66">
        <v>2199.079164652836</v>
      </c>
      <c r="N72" s="66">
        <v>2603.9302661474694</v>
      </c>
      <c r="P72" s="19">
        <f t="shared" si="53"/>
        <v>0.18410028524759658</v>
      </c>
    </row>
    <row r="73" spans="1:21" s="52" customFormat="1" ht="13" x14ac:dyDescent="0.3">
      <c r="A73" s="58"/>
      <c r="B73" s="29" t="s">
        <v>24</v>
      </c>
      <c r="C73" s="68">
        <v>90.981640422947748</v>
      </c>
      <c r="D73" s="68">
        <v>63.478276401480791</v>
      </c>
      <c r="E73" s="22"/>
      <c r="F73" s="57">
        <f t="shared" si="51"/>
        <v>-0.3022957587224373</v>
      </c>
      <c r="G73" s="22"/>
      <c r="H73" s="68">
        <v>58.356610713535389</v>
      </c>
      <c r="I73" s="68">
        <v>209.30420039261412</v>
      </c>
      <c r="J73" s="22"/>
      <c r="K73" s="28">
        <f t="shared" si="52"/>
        <v>2.5866407907076678</v>
      </c>
      <c r="L73" s="22"/>
      <c r="M73" s="68">
        <v>149.33825113648314</v>
      </c>
      <c r="N73" s="68">
        <v>272.78247679409492</v>
      </c>
      <c r="O73" s="22"/>
      <c r="P73" s="57">
        <f t="shared" si="53"/>
        <v>0.82660821804317042</v>
      </c>
    </row>
    <row r="74" spans="1:21" s="52" customFormat="1" ht="13" x14ac:dyDescent="0.3">
      <c r="A74" s="58"/>
      <c r="B74" s="29" t="s">
        <v>23</v>
      </c>
      <c r="C74" s="68">
        <v>713.20691906861339</v>
      </c>
      <c r="D74" s="68">
        <v>481.60592991821943</v>
      </c>
      <c r="E74" s="22"/>
      <c r="F74" s="57">
        <f t="shared" si="51"/>
        <v>-0.32473183161605446</v>
      </c>
      <c r="G74" s="22"/>
      <c r="H74" s="68">
        <v>692.45071816869222</v>
      </c>
      <c r="I74" s="68">
        <v>641.01344786379707</v>
      </c>
      <c r="J74" s="22"/>
      <c r="K74" s="28">
        <f t="shared" si="52"/>
        <v>-7.4282933001976081E-2</v>
      </c>
      <c r="L74" s="22"/>
      <c r="M74" s="68">
        <v>1405.6576372373056</v>
      </c>
      <c r="N74" s="68">
        <v>1122.6193777820165</v>
      </c>
      <c r="O74" s="22"/>
      <c r="P74" s="57">
        <f t="shared" si="53"/>
        <v>-0.20135646971020305</v>
      </c>
    </row>
    <row r="75" spans="1:21" s="52" customFormat="1" ht="13" x14ac:dyDescent="0.3">
      <c r="A75" s="58"/>
      <c r="B75" s="29" t="s">
        <v>13</v>
      </c>
      <c r="C75" s="68">
        <v>393.36444336096929</v>
      </c>
      <c r="D75" s="68">
        <v>498.00913589318884</v>
      </c>
      <c r="E75" s="22"/>
      <c r="F75" s="57">
        <f t="shared" si="51"/>
        <v>0.26602478769590454</v>
      </c>
      <c r="G75" s="22"/>
      <c r="H75" s="68">
        <v>250.71883291807785</v>
      </c>
      <c r="I75" s="68">
        <v>710.51927567816915</v>
      </c>
      <c r="J75" s="22"/>
      <c r="K75" s="28">
        <f t="shared" si="52"/>
        <v>1.8339286180002707</v>
      </c>
      <c r="L75" s="22"/>
      <c r="M75" s="68">
        <v>644.08327627904714</v>
      </c>
      <c r="N75" s="68">
        <v>1208.528411571358</v>
      </c>
      <c r="O75" s="22"/>
      <c r="P75" s="57">
        <f t="shared" si="53"/>
        <v>0.87635427914412523</v>
      </c>
    </row>
    <row r="76" spans="1:21" s="52" customFormat="1" ht="13" x14ac:dyDescent="0.3">
      <c r="A76" s="58"/>
      <c r="B76" s="27" t="s">
        <v>7</v>
      </c>
      <c r="C76" s="66">
        <v>47.608070430099126</v>
      </c>
      <c r="D76" s="66">
        <v>85.622556229917393</v>
      </c>
      <c r="F76" s="19">
        <f t="shared" si="51"/>
        <v>0.79848827008507506</v>
      </c>
      <c r="H76" s="66">
        <v>18.217905118502735</v>
      </c>
      <c r="I76" s="66">
        <v>36.020695276453623</v>
      </c>
      <c r="K76" s="19">
        <f t="shared" si="52"/>
        <v>0.97721390259463803</v>
      </c>
      <c r="M76" s="66">
        <v>65.825975548601861</v>
      </c>
      <c r="N76" s="66">
        <v>121.64325150637102</v>
      </c>
      <c r="P76" s="19">
        <f t="shared" si="53"/>
        <v>0.84795212668830255</v>
      </c>
    </row>
    <row r="77" spans="1:21" s="52" customFormat="1" ht="13" x14ac:dyDescent="0.3">
      <c r="A77" s="58"/>
      <c r="B77" s="27" t="s">
        <v>15</v>
      </c>
      <c r="C77" s="66">
        <v>19.278458257062454</v>
      </c>
      <c r="D77" s="66">
        <v>45.854693196270006</v>
      </c>
      <c r="F77" s="19">
        <f t="shared" si="51"/>
        <v>1.3785456588299345</v>
      </c>
      <c r="H77" s="66">
        <v>5.1427068412114316</v>
      </c>
      <c r="I77" s="66">
        <v>27.070110776988415</v>
      </c>
      <c r="K77" s="19">
        <f t="shared" si="52"/>
        <v>4.2637864869255697</v>
      </c>
      <c r="M77" s="66">
        <v>24.421165098273885</v>
      </c>
      <c r="N77" s="66">
        <v>72.92480397325842</v>
      </c>
      <c r="P77" s="19">
        <f t="shared" si="53"/>
        <v>1.9861312382025877</v>
      </c>
    </row>
    <row r="78" spans="1:21" s="52" customFormat="1" ht="13" x14ac:dyDescent="0.3">
      <c r="A78" s="58"/>
      <c r="B78" s="27" t="s">
        <v>12</v>
      </c>
      <c r="C78" s="66">
        <v>8.1020162611218858</v>
      </c>
      <c r="D78" s="66">
        <v>9.985109886839723</v>
      </c>
      <c r="F78" s="19">
        <f t="shared" si="51"/>
        <v>0.23242283957809362</v>
      </c>
      <c r="H78" s="66">
        <v>4.7365777196658936</v>
      </c>
      <c r="I78" s="66">
        <v>8.5239256852337597</v>
      </c>
      <c r="K78" s="19">
        <f t="shared" si="52"/>
        <v>0.79959586640858848</v>
      </c>
      <c r="M78" s="66">
        <v>12.838593980787779</v>
      </c>
      <c r="N78" s="66">
        <v>18.509035572073483</v>
      </c>
      <c r="P78" s="19">
        <f t="shared" si="53"/>
        <v>0.4416715412740051</v>
      </c>
    </row>
    <row r="79" spans="1:21" ht="11.25" customHeight="1" thickBot="1" x14ac:dyDescent="0.3">
      <c r="A79" s="22"/>
      <c r="F79" s="22"/>
      <c r="K79" s="22"/>
      <c r="P79" s="22"/>
      <c r="U79" s="22"/>
    </row>
    <row r="80" spans="1:21" ht="16" thickBot="1" x14ac:dyDescent="0.3">
      <c r="A80" s="30"/>
      <c r="B80" s="31" t="s">
        <v>17</v>
      </c>
      <c r="C80" s="59">
        <v>2032.3372831259312</v>
      </c>
      <c r="D80" s="60">
        <v>2221.5087704828074</v>
      </c>
      <c r="F80" s="32">
        <f>IF(C80,D80/C80-1,"")</f>
        <v>9.3080754325341131E-2</v>
      </c>
      <c r="H80" s="59">
        <v>1518.7768910836817</v>
      </c>
      <c r="I80" s="60">
        <v>2376.4837778907558</v>
      </c>
      <c r="K80" s="32">
        <f>IF(H80,I80/H80-1,"")</f>
        <v>0.56473527602535545</v>
      </c>
      <c r="M80" s="59">
        <v>3551.1141742096124</v>
      </c>
      <c r="N80" s="60">
        <v>4597.9925483735633</v>
      </c>
      <c r="P80" s="32">
        <f>IF(M80,N80/M80-1,"")</f>
        <v>0.29480279225236661</v>
      </c>
      <c r="U80" s="22"/>
    </row>
    <row r="81" spans="1:21" ht="6" customHeight="1" thickBot="1" x14ac:dyDescent="0.3">
      <c r="A81" s="33"/>
      <c r="B81" s="34"/>
      <c r="C81" s="35"/>
      <c r="D81" s="35"/>
      <c r="E81" s="36"/>
      <c r="F81" s="33"/>
      <c r="G81" s="36"/>
      <c r="H81" s="35"/>
      <c r="I81" s="35"/>
      <c r="J81" s="36"/>
      <c r="K81" s="33"/>
      <c r="L81" s="36"/>
      <c r="M81" s="35"/>
      <c r="N81" s="35"/>
      <c r="O81" s="36"/>
      <c r="P81" s="33"/>
      <c r="U81" s="22"/>
    </row>
    <row r="82" spans="1:21" ht="16.5" customHeight="1" thickBot="1" x14ac:dyDescent="0.3">
      <c r="A82" s="22"/>
      <c r="B82" s="31" t="s">
        <v>35</v>
      </c>
      <c r="C82" s="37"/>
      <c r="D82" s="37"/>
      <c r="E82" s="38"/>
      <c r="F82" s="30"/>
      <c r="G82" s="38"/>
      <c r="H82" s="37"/>
      <c r="I82" s="37"/>
      <c r="J82" s="38"/>
      <c r="K82" s="30"/>
      <c r="L82" s="38"/>
      <c r="M82" s="59">
        <v>14.094729766538167</v>
      </c>
      <c r="N82" s="60">
        <v>2.430179248059817</v>
      </c>
      <c r="P82" s="32">
        <f>IF(M82,N82/M82-1,"")</f>
        <v>-0.82758241638451091</v>
      </c>
      <c r="U82" s="22"/>
    </row>
    <row r="83" spans="1:21" ht="6" customHeight="1" thickBot="1" x14ac:dyDescent="0.3">
      <c r="A83" s="33"/>
      <c r="B83" s="39"/>
      <c r="C83" s="37"/>
      <c r="D83" s="37"/>
      <c r="E83" s="38"/>
      <c r="F83" s="30"/>
      <c r="G83" s="38"/>
      <c r="H83" s="37"/>
      <c r="I83" s="37"/>
      <c r="J83" s="38"/>
      <c r="K83" s="40"/>
      <c r="L83" s="38"/>
      <c r="M83" s="37"/>
      <c r="N83" s="37"/>
      <c r="O83" s="38"/>
      <c r="P83" s="40"/>
      <c r="U83" s="22"/>
    </row>
    <row r="84" spans="1:21" ht="16.5" customHeight="1" collapsed="1" thickBot="1" x14ac:dyDescent="0.3">
      <c r="A84" s="22"/>
      <c r="B84" s="31" t="s">
        <v>37</v>
      </c>
      <c r="C84" s="37"/>
      <c r="D84" s="37"/>
      <c r="E84" s="38"/>
      <c r="F84" s="30"/>
      <c r="G84" s="39"/>
      <c r="H84" s="37"/>
      <c r="I84" s="37"/>
      <c r="J84" s="38"/>
      <c r="K84" s="30"/>
      <c r="L84" s="38"/>
      <c r="M84" s="59">
        <v>3565.2089039761504</v>
      </c>
      <c r="N84" s="60">
        <v>4600.4227276216234</v>
      </c>
      <c r="P84" s="32">
        <f>IF(M84,N84/M84-1,"")</f>
        <v>0.29036554421563787</v>
      </c>
      <c r="U84" s="22"/>
    </row>
    <row r="85" spans="1:21" ht="18" customHeight="1" x14ac:dyDescent="0.25">
      <c r="A85" s="22"/>
      <c r="B85" s="45"/>
      <c r="C85" s="46"/>
      <c r="D85" s="46"/>
      <c r="E85" s="38"/>
      <c r="F85" s="47"/>
      <c r="G85" s="38"/>
      <c r="H85" s="46"/>
      <c r="I85" s="46"/>
      <c r="J85" s="38"/>
      <c r="K85" s="47"/>
      <c r="L85" s="38"/>
      <c r="M85" s="46"/>
      <c r="N85" s="46"/>
      <c r="O85" s="38"/>
      <c r="P85" s="47"/>
      <c r="Q85" s="38"/>
      <c r="R85" s="46"/>
      <c r="S85" s="46"/>
      <c r="T85" s="38"/>
      <c r="U85" s="47"/>
    </row>
    <row r="86" spans="1:21" ht="18" customHeight="1" x14ac:dyDescent="0.25">
      <c r="A86" s="22"/>
      <c r="B86" s="39"/>
      <c r="C86" s="37"/>
      <c r="D86" s="37"/>
      <c r="E86" s="38"/>
      <c r="F86" s="30"/>
      <c r="G86" s="38"/>
      <c r="H86" s="37"/>
      <c r="I86" s="37"/>
      <c r="J86" s="38"/>
      <c r="K86" s="30"/>
      <c r="L86" s="38"/>
      <c r="M86" s="37"/>
      <c r="N86" s="37"/>
      <c r="O86" s="38"/>
      <c r="P86" s="30"/>
      <c r="Q86" s="38"/>
      <c r="R86" s="37"/>
      <c r="S86" s="37"/>
      <c r="T86" s="38"/>
      <c r="U86" s="30"/>
    </row>
    <row r="92" spans="1:21" ht="18" customHeight="1" x14ac:dyDescent="0.25">
      <c r="A92" s="22"/>
      <c r="B92" s="16"/>
      <c r="C92" s="15"/>
      <c r="D92" s="70"/>
      <c r="E92" s="17"/>
      <c r="F92" s="49"/>
      <c r="G92" s="17"/>
      <c r="H92" s="15"/>
      <c r="I92" s="70"/>
      <c r="J92" s="17"/>
      <c r="K92" s="49"/>
      <c r="L92" s="17"/>
      <c r="M92" s="15"/>
      <c r="N92" s="70"/>
      <c r="O92" s="17"/>
      <c r="P92" s="49"/>
      <c r="Q92" s="17"/>
      <c r="R92" s="15"/>
      <c r="S92" s="15"/>
      <c r="T92" s="17"/>
      <c r="U92" s="49"/>
    </row>
    <row r="93" spans="1:21" ht="18" customHeight="1" x14ac:dyDescent="0.25">
      <c r="A93" s="22"/>
      <c r="B93" s="16"/>
      <c r="C93" s="15"/>
      <c r="D93" s="15"/>
      <c r="E93" s="17"/>
      <c r="F93" s="49"/>
      <c r="G93" s="17"/>
      <c r="H93" s="15"/>
      <c r="I93" s="15"/>
      <c r="J93" s="17"/>
      <c r="K93" s="49"/>
      <c r="L93" s="17"/>
      <c r="M93" s="15"/>
      <c r="N93" s="15"/>
      <c r="O93" s="17"/>
      <c r="P93" s="49"/>
      <c r="Q93" s="17"/>
      <c r="R93" s="15"/>
      <c r="S93" s="15"/>
      <c r="T93" s="17"/>
      <c r="U93" s="49"/>
    </row>
    <row r="94" spans="1:21" ht="18" customHeight="1" x14ac:dyDescent="0.25">
      <c r="A94" s="22"/>
      <c r="B94" s="50"/>
      <c r="C94" s="168" t="str">
        <f>N35</f>
        <v>I-III 2026</v>
      </c>
      <c r="D94" s="168"/>
      <c r="E94" s="168"/>
      <c r="F94" s="168"/>
      <c r="G94" s="38"/>
      <c r="H94" s="169" t="str">
        <f>M35</f>
        <v>I-III 2025</v>
      </c>
      <c r="I94" s="169"/>
      <c r="J94" s="169"/>
      <c r="K94" s="169"/>
      <c r="L94" s="38"/>
      <c r="M94" s="170" t="s">
        <v>74</v>
      </c>
      <c r="N94" s="170"/>
      <c r="O94" s="170"/>
      <c r="P94" s="170"/>
      <c r="Q94" s="38"/>
    </row>
    <row r="95" spans="1:21" s="38" customFormat="1" x14ac:dyDescent="0.25">
      <c r="A95" s="51"/>
      <c r="F95" s="51"/>
      <c r="K95" s="51"/>
      <c r="P95" s="51"/>
    </row>
    <row r="96" spans="1:21" s="38" customFormat="1" ht="44.15" customHeight="1" x14ac:dyDescent="0.25">
      <c r="A96" s="51"/>
      <c r="C96" s="118" t="s">
        <v>39</v>
      </c>
      <c r="D96" s="118" t="s">
        <v>40</v>
      </c>
      <c r="E96" s="117"/>
      <c r="F96" s="118" t="s">
        <v>41</v>
      </c>
      <c r="H96" s="119" t="s">
        <v>39</v>
      </c>
      <c r="I96" s="119" t="s">
        <v>40</v>
      </c>
      <c r="J96" s="117"/>
      <c r="K96" s="119" t="s">
        <v>41</v>
      </c>
      <c r="M96" s="120" t="s">
        <v>39</v>
      </c>
      <c r="N96" s="120" t="s">
        <v>40</v>
      </c>
      <c r="O96" s="117"/>
      <c r="P96" s="120" t="s">
        <v>41</v>
      </c>
    </row>
    <row r="97" spans="1:17" s="38" customFormat="1" ht="15" thickBot="1" x14ac:dyDescent="0.4">
      <c r="A97" s="51"/>
      <c r="B97" s="71"/>
      <c r="C97" s="71"/>
      <c r="D97" s="71"/>
      <c r="E97" s="72"/>
      <c r="F97" s="71"/>
      <c r="H97" s="71"/>
      <c r="I97" s="71"/>
      <c r="J97" s="72"/>
      <c r="K97" s="71"/>
      <c r="M97" s="71"/>
      <c r="N97" s="71"/>
      <c r="O97" s="72"/>
      <c r="P97" s="71"/>
    </row>
    <row r="98" spans="1:17" ht="15" thickBot="1" x14ac:dyDescent="0.4">
      <c r="B98" s="73" t="s">
        <v>42</v>
      </c>
      <c r="C98" s="74">
        <f t="shared" ref="C98:C107" si="54">N36</f>
        <v>20300.923584272368</v>
      </c>
      <c r="D98" s="75">
        <f t="shared" ref="D98:D107" si="55">N63</f>
        <v>1780.9851911743915</v>
      </c>
      <c r="E98" s="76"/>
      <c r="F98" s="77">
        <f>SUM(F99:F100,F102:F106)</f>
        <v>22081.908775446758</v>
      </c>
      <c r="H98" s="74">
        <f t="shared" ref="H98:H107" si="56">M36</f>
        <v>18453.770897240134</v>
      </c>
      <c r="I98" s="75">
        <f t="shared" ref="I98:I107" si="57">M63</f>
        <v>1248.9492749291128</v>
      </c>
      <c r="J98" s="76"/>
      <c r="K98" s="77">
        <f>SUM(K99:K100,K102:K106)</f>
        <v>19702.720172169247</v>
      </c>
      <c r="M98" s="121">
        <f t="shared" ref="M98:M139" si="58">IFERROR(C98/H98-1,"")</f>
        <v>0.10009621867086715</v>
      </c>
      <c r="N98" s="122">
        <f t="shared" ref="N98:N139" si="59">IFERROR(D98/I98-1,"")</f>
        <v>0.42598680901230024</v>
      </c>
      <c r="O98" s="123"/>
      <c r="P98" s="124">
        <f t="shared" ref="P98:P139" si="60">IFERROR(F98/K98-1,"")</f>
        <v>0.12075432135701725</v>
      </c>
    </row>
    <row r="99" spans="1:17" ht="14.5" x14ac:dyDescent="0.25">
      <c r="B99" s="78" t="s">
        <v>0</v>
      </c>
      <c r="C99" s="79">
        <f t="shared" si="54"/>
        <v>13273.601332204875</v>
      </c>
      <c r="D99" s="80">
        <f t="shared" si="55"/>
        <v>1192.7067873103717</v>
      </c>
      <c r="E99" s="81"/>
      <c r="F99" s="82">
        <f>C99+D99</f>
        <v>14466.308119515246</v>
      </c>
      <c r="H99" s="79">
        <f t="shared" si="56"/>
        <v>12331.348598206614</v>
      </c>
      <c r="I99" s="80">
        <f t="shared" si="57"/>
        <v>720.71596555019403</v>
      </c>
      <c r="J99" s="81"/>
      <c r="K99" s="82">
        <f>H99+I99</f>
        <v>13052.064563756809</v>
      </c>
      <c r="M99" s="125">
        <f t="shared" si="58"/>
        <v>7.6411166750674386E-2</v>
      </c>
      <c r="N99" s="126">
        <f t="shared" si="59"/>
        <v>0.65489158603536723</v>
      </c>
      <c r="O99" s="127"/>
      <c r="P99" s="128">
        <f t="shared" si="60"/>
        <v>0.10835401164697989</v>
      </c>
    </row>
    <row r="100" spans="1:17" ht="14.5" x14ac:dyDescent="0.25">
      <c r="B100" s="83" t="s">
        <v>8</v>
      </c>
      <c r="C100" s="79">
        <f t="shared" si="54"/>
        <v>1971.6369943379279</v>
      </c>
      <c r="D100" s="80">
        <f t="shared" si="55"/>
        <v>76.429432216274719</v>
      </c>
      <c r="E100" s="81"/>
      <c r="F100" s="82">
        <f>C100+D100</f>
        <v>2048.0664265542027</v>
      </c>
      <c r="H100" s="79">
        <f t="shared" si="56"/>
        <v>1853.2079512817406</v>
      </c>
      <c r="I100" s="80">
        <f t="shared" si="57"/>
        <v>98.314862808454961</v>
      </c>
      <c r="J100" s="81"/>
      <c r="K100" s="82">
        <f>H100+I100</f>
        <v>1951.5228140901957</v>
      </c>
      <c r="M100" s="125">
        <f t="shared" si="58"/>
        <v>6.3904886105349279E-2</v>
      </c>
      <c r="N100" s="126">
        <f t="shared" si="59"/>
        <v>-0.22260551423256547</v>
      </c>
      <c r="O100" s="127"/>
      <c r="P100" s="128">
        <f t="shared" si="60"/>
        <v>4.9470911519430949E-2</v>
      </c>
    </row>
    <row r="101" spans="1:17" ht="14.5" x14ac:dyDescent="0.25">
      <c r="B101" s="83" t="s">
        <v>9</v>
      </c>
      <c r="C101" s="84">
        <f t="shared" si="54"/>
        <v>4862.3530258646306</v>
      </c>
      <c r="D101" s="85">
        <f t="shared" si="55"/>
        <v>499.71711614592704</v>
      </c>
      <c r="E101" s="81"/>
      <c r="F101" s="86">
        <f>SUM(F102:F105)</f>
        <v>5362.0701420105579</v>
      </c>
      <c r="H101" s="84">
        <f t="shared" si="56"/>
        <v>4081.5882886602058</v>
      </c>
      <c r="I101" s="85">
        <f t="shared" si="57"/>
        <v>423.53022118433717</v>
      </c>
      <c r="J101" s="81"/>
      <c r="K101" s="86">
        <f>SUM(K102:K105)</f>
        <v>4505.118509844543</v>
      </c>
      <c r="M101" s="129">
        <f t="shared" si="58"/>
        <v>0.19128943979323143</v>
      </c>
      <c r="N101" s="130">
        <f t="shared" si="59"/>
        <v>0.17988538043057445</v>
      </c>
      <c r="O101" s="127"/>
      <c r="P101" s="131">
        <f t="shared" si="60"/>
        <v>0.19021733397099583</v>
      </c>
    </row>
    <row r="102" spans="1:17" ht="14.5" x14ac:dyDescent="0.25">
      <c r="B102" s="87" t="s">
        <v>10</v>
      </c>
      <c r="C102" s="88">
        <f t="shared" si="54"/>
        <v>1153.4408988002192</v>
      </c>
      <c r="D102" s="89">
        <f t="shared" si="55"/>
        <v>52.02372154027811</v>
      </c>
      <c r="E102" s="81"/>
      <c r="F102" s="90">
        <f t="shared" ref="F102:F106" si="61">C102+D102</f>
        <v>1205.4646203404973</v>
      </c>
      <c r="H102" s="88">
        <f t="shared" si="56"/>
        <v>954.49987870898303</v>
      </c>
      <c r="I102" s="89">
        <f t="shared" si="57"/>
        <v>52.695562275284921</v>
      </c>
      <c r="J102" s="81"/>
      <c r="K102" s="90">
        <f t="shared" ref="K102:K106" si="62">H102+I102</f>
        <v>1007.195440984268</v>
      </c>
      <c r="M102" s="132">
        <f t="shared" si="58"/>
        <v>0.20842435345336607</v>
      </c>
      <c r="N102" s="133">
        <f t="shared" si="59"/>
        <v>-1.2749474642609782E-2</v>
      </c>
      <c r="O102" s="127"/>
      <c r="P102" s="134">
        <f t="shared" si="60"/>
        <v>0.19685273710380713</v>
      </c>
    </row>
    <row r="103" spans="1:17" ht="14.5" x14ac:dyDescent="0.25">
      <c r="B103" s="87" t="s">
        <v>4</v>
      </c>
      <c r="C103" s="88">
        <f t="shared" si="54"/>
        <v>2305.5992488027209</v>
      </c>
      <c r="D103" s="89">
        <f t="shared" si="55"/>
        <v>314.44551955365517</v>
      </c>
      <c r="E103" s="81"/>
      <c r="F103" s="90">
        <f t="shared" si="61"/>
        <v>2620.0447683563762</v>
      </c>
      <c r="H103" s="88">
        <f t="shared" si="56"/>
        <v>1805.1815664952949</v>
      </c>
      <c r="I103" s="89">
        <f t="shared" si="57"/>
        <v>230.45362483745492</v>
      </c>
      <c r="J103" s="81"/>
      <c r="K103" s="90">
        <f t="shared" si="62"/>
        <v>2035.6351913327499</v>
      </c>
      <c r="M103" s="132">
        <f t="shared" si="58"/>
        <v>0.27721182821458323</v>
      </c>
      <c r="N103" s="133">
        <f t="shared" si="59"/>
        <v>0.36446332651717661</v>
      </c>
      <c r="O103" s="127"/>
      <c r="P103" s="134">
        <f t="shared" si="60"/>
        <v>0.28708954311258883</v>
      </c>
    </row>
    <row r="104" spans="1:17" s="20" customFormat="1" ht="14.5" x14ac:dyDescent="0.25">
      <c r="B104" s="87" t="s">
        <v>11</v>
      </c>
      <c r="C104" s="88">
        <f t="shared" si="54"/>
        <v>855.76879370990355</v>
      </c>
      <c r="D104" s="89">
        <f t="shared" si="55"/>
        <v>111.8828667735057</v>
      </c>
      <c r="E104" s="81"/>
      <c r="F104" s="90">
        <f t="shared" si="61"/>
        <v>967.65166048340927</v>
      </c>
      <c r="G104" s="22"/>
      <c r="H104" s="88">
        <f t="shared" si="56"/>
        <v>903.18723248756146</v>
      </c>
      <c r="I104" s="89">
        <f t="shared" si="57"/>
        <v>106.16610411750906</v>
      </c>
      <c r="J104" s="81"/>
      <c r="K104" s="90">
        <f t="shared" si="62"/>
        <v>1009.3533366050706</v>
      </c>
      <c r="L104" s="22"/>
      <c r="M104" s="132">
        <f t="shared" si="58"/>
        <v>-5.2501227953652418E-2</v>
      </c>
      <c r="N104" s="133">
        <f t="shared" si="59"/>
        <v>5.3847343307135809E-2</v>
      </c>
      <c r="O104" s="127"/>
      <c r="P104" s="134">
        <f t="shared" si="60"/>
        <v>-4.1315240767840211E-2</v>
      </c>
      <c r="Q104" s="22"/>
    </row>
    <row r="105" spans="1:17" s="20" customFormat="1" ht="14.5" x14ac:dyDescent="0.25">
      <c r="B105" s="87" t="s">
        <v>6</v>
      </c>
      <c r="C105" s="88">
        <f t="shared" si="54"/>
        <v>547.54408455178668</v>
      </c>
      <c r="D105" s="89">
        <f t="shared" si="55"/>
        <v>21.365008278488006</v>
      </c>
      <c r="E105" s="81"/>
      <c r="F105" s="90">
        <f t="shared" si="61"/>
        <v>568.90909283027463</v>
      </c>
      <c r="G105" s="22"/>
      <c r="H105" s="88">
        <f t="shared" si="56"/>
        <v>418.71961096836662</v>
      </c>
      <c r="I105" s="89">
        <f t="shared" si="57"/>
        <v>34.214929954088248</v>
      </c>
      <c r="J105" s="81"/>
      <c r="K105" s="90">
        <f t="shared" si="62"/>
        <v>452.93454092245486</v>
      </c>
      <c r="L105" s="22"/>
      <c r="M105" s="132">
        <f t="shared" si="58"/>
        <v>0.30766286127723896</v>
      </c>
      <c r="N105" s="133">
        <f t="shared" si="59"/>
        <v>-0.37556475178651771</v>
      </c>
      <c r="O105" s="127"/>
      <c r="P105" s="134">
        <f t="shared" si="60"/>
        <v>0.25605146313554239</v>
      </c>
      <c r="Q105" s="22"/>
    </row>
    <row r="106" spans="1:17" s="20" customFormat="1" ht="15" thickBot="1" x14ac:dyDescent="0.3">
      <c r="B106" s="91" t="s">
        <v>12</v>
      </c>
      <c r="C106" s="92">
        <f t="shared" si="54"/>
        <v>193.33223186493223</v>
      </c>
      <c r="D106" s="93">
        <f t="shared" si="55"/>
        <v>12.131855501817929</v>
      </c>
      <c r="E106" s="81"/>
      <c r="F106" s="94">
        <f t="shared" si="61"/>
        <v>205.46408736675016</v>
      </c>
      <c r="G106" s="22"/>
      <c r="H106" s="92">
        <f t="shared" si="56"/>
        <v>187.62605909157199</v>
      </c>
      <c r="I106" s="93">
        <f t="shared" si="57"/>
        <v>6.388225386126873</v>
      </c>
      <c r="J106" s="81"/>
      <c r="K106" s="94">
        <f t="shared" si="62"/>
        <v>194.01428447769885</v>
      </c>
      <c r="L106" s="22"/>
      <c r="M106" s="135">
        <f t="shared" si="58"/>
        <v>3.0412474690284297E-2</v>
      </c>
      <c r="N106" s="136">
        <f t="shared" si="59"/>
        <v>0.89909634812890826</v>
      </c>
      <c r="O106" s="127"/>
      <c r="P106" s="137">
        <f t="shared" si="60"/>
        <v>5.9015257149106493E-2</v>
      </c>
      <c r="Q106" s="22"/>
    </row>
    <row r="107" spans="1:17" s="20" customFormat="1" ht="15" thickBot="1" x14ac:dyDescent="0.3">
      <c r="B107" s="95" t="s">
        <v>43</v>
      </c>
      <c r="C107" s="96">
        <f t="shared" si="54"/>
        <v>3749.5529226905946</v>
      </c>
      <c r="D107" s="97">
        <f t="shared" si="55"/>
        <v>2603.9302661474694</v>
      </c>
      <c r="E107" s="76"/>
      <c r="F107" s="77">
        <f>SUM(F108:F122)</f>
        <v>6353.483188838065</v>
      </c>
      <c r="G107" s="22"/>
      <c r="H107" s="96">
        <f t="shared" si="56"/>
        <v>3638.0439597862187</v>
      </c>
      <c r="I107" s="97">
        <f t="shared" si="57"/>
        <v>2199.079164652836</v>
      </c>
      <c r="J107" s="76"/>
      <c r="K107" s="77">
        <f>SUM(K108:K122)</f>
        <v>5837.1231244390538</v>
      </c>
      <c r="L107" s="22"/>
      <c r="M107" s="138">
        <f t="shared" si="58"/>
        <v>3.0650801402336114E-2</v>
      </c>
      <c r="N107" s="139">
        <f t="shared" si="59"/>
        <v>0.18410028524759658</v>
      </c>
      <c r="O107" s="123"/>
      <c r="P107" s="124">
        <f t="shared" si="60"/>
        <v>8.8461396717348428E-2</v>
      </c>
      <c r="Q107" s="22"/>
    </row>
    <row r="108" spans="1:17" s="20" customFormat="1" ht="14.5" x14ac:dyDescent="0.35">
      <c r="B108" s="98" t="s">
        <v>44</v>
      </c>
      <c r="C108" s="99">
        <v>939.84284035419739</v>
      </c>
      <c r="D108" s="100">
        <v>272.78247679409492</v>
      </c>
      <c r="E108" s="101"/>
      <c r="F108" s="102">
        <f t="shared" ref="F108:F110" si="63">C108+D108</f>
        <v>1212.6253171482922</v>
      </c>
      <c r="G108" s="22"/>
      <c r="H108" s="99">
        <v>962.40156284154409</v>
      </c>
      <c r="I108" s="100">
        <v>149.33825113648314</v>
      </c>
      <c r="J108" s="101"/>
      <c r="K108" s="102">
        <f t="shared" ref="K108:K110" si="64">H108+I108</f>
        <v>1111.7398139780273</v>
      </c>
      <c r="L108" s="22"/>
      <c r="M108" s="140">
        <f t="shared" si="58"/>
        <v>-2.3440031020669605E-2</v>
      </c>
      <c r="N108" s="141">
        <f t="shared" si="59"/>
        <v>0.82660821804317042</v>
      </c>
      <c r="O108" s="142"/>
      <c r="P108" s="143">
        <f t="shared" si="60"/>
        <v>9.0745606032832882E-2</v>
      </c>
      <c r="Q108" s="22"/>
    </row>
    <row r="109" spans="1:17" s="20" customFormat="1" ht="14.5" x14ac:dyDescent="0.35">
      <c r="B109" s="103" t="s">
        <v>45</v>
      </c>
      <c r="C109" s="99">
        <v>337.63034163447469</v>
      </c>
      <c r="D109" s="100">
        <v>1122.6193777820165</v>
      </c>
      <c r="E109" s="101"/>
      <c r="F109" s="104">
        <f t="shared" si="63"/>
        <v>1460.2497194164912</v>
      </c>
      <c r="G109" s="22"/>
      <c r="H109" s="99">
        <v>270.55063899862984</v>
      </c>
      <c r="I109" s="100">
        <v>1405.6576372373056</v>
      </c>
      <c r="J109" s="101"/>
      <c r="K109" s="104">
        <f t="shared" si="64"/>
        <v>1676.2082762359355</v>
      </c>
      <c r="L109" s="22"/>
      <c r="M109" s="140">
        <f t="shared" si="58"/>
        <v>0.24793769803731491</v>
      </c>
      <c r="N109" s="141">
        <f t="shared" si="59"/>
        <v>-0.20135646971020305</v>
      </c>
      <c r="O109" s="142"/>
      <c r="P109" s="144">
        <f t="shared" si="60"/>
        <v>-0.12883754356850996</v>
      </c>
      <c r="Q109" s="22"/>
    </row>
    <row r="110" spans="1:17" s="20" customFormat="1" ht="14.5" x14ac:dyDescent="0.35">
      <c r="B110" s="103" t="s">
        <v>46</v>
      </c>
      <c r="C110" s="99">
        <v>101.22138805804346</v>
      </c>
      <c r="D110" s="100">
        <v>21.066059838113958</v>
      </c>
      <c r="E110" s="101"/>
      <c r="F110" s="104">
        <f t="shared" si="63"/>
        <v>122.28744789615742</v>
      </c>
      <c r="G110" s="22"/>
      <c r="H110" s="99">
        <v>83.475056602574355</v>
      </c>
      <c r="I110" s="100">
        <v>47.151921823626239</v>
      </c>
      <c r="J110" s="101"/>
      <c r="K110" s="104">
        <f t="shared" si="64"/>
        <v>130.62697842620059</v>
      </c>
      <c r="L110" s="22"/>
      <c r="M110" s="140">
        <f t="shared" si="58"/>
        <v>0.21259442254660077</v>
      </c>
      <c r="N110" s="141">
        <f t="shared" si="59"/>
        <v>-0.5532300906649692</v>
      </c>
      <c r="O110" s="142"/>
      <c r="P110" s="144">
        <f t="shared" si="60"/>
        <v>-6.3842328977659846E-2</v>
      </c>
      <c r="Q110" s="22"/>
    </row>
    <row r="111" spans="1:17" s="20" customFormat="1" ht="14.5" x14ac:dyDescent="0.35">
      <c r="B111" s="103" t="s">
        <v>47</v>
      </c>
      <c r="C111" s="99">
        <v>140.26737255406397</v>
      </c>
      <c r="D111" s="100">
        <v>22.473345684040545</v>
      </c>
      <c r="E111" s="101"/>
      <c r="F111" s="104">
        <f>C111+D111</f>
        <v>162.74071823810451</v>
      </c>
      <c r="G111" s="22"/>
      <c r="H111" s="99">
        <v>176.2685411746231</v>
      </c>
      <c r="I111" s="100">
        <v>18.889114415653996</v>
      </c>
      <c r="J111" s="101"/>
      <c r="K111" s="104">
        <f>H111+I111</f>
        <v>195.1576555902771</v>
      </c>
      <c r="L111" s="22"/>
      <c r="M111" s="140">
        <f t="shared" si="58"/>
        <v>-0.2042404639004417</v>
      </c>
      <c r="N111" s="141">
        <f t="shared" si="59"/>
        <v>0.18975115452824975</v>
      </c>
      <c r="O111" s="142"/>
      <c r="P111" s="144">
        <f t="shared" si="60"/>
        <v>-0.16610640896522244</v>
      </c>
      <c r="Q111" s="22"/>
    </row>
    <row r="112" spans="1:17" s="20" customFormat="1" ht="14.5" x14ac:dyDescent="0.35">
      <c r="B112" s="103" t="s">
        <v>48</v>
      </c>
      <c r="C112" s="99">
        <v>297.21533629574657</v>
      </c>
      <c r="D112" s="100">
        <v>114.64430506036733</v>
      </c>
      <c r="E112" s="101"/>
      <c r="F112" s="104">
        <f t="shared" ref="F112:F122" si="65">C112+D112</f>
        <v>411.85964135611391</v>
      </c>
      <c r="G112" s="22"/>
      <c r="H112" s="99">
        <v>329.92733353250151</v>
      </c>
      <c r="I112" s="100">
        <v>48.511082260487491</v>
      </c>
      <c r="J112" s="101"/>
      <c r="K112" s="104">
        <f t="shared" ref="K112:K122" si="66">H112+I112</f>
        <v>378.43841579298902</v>
      </c>
      <c r="L112" s="22"/>
      <c r="M112" s="140">
        <f t="shared" si="58"/>
        <v>-9.9149097125450614E-2</v>
      </c>
      <c r="N112" s="141">
        <f t="shared" si="59"/>
        <v>1.3632600988938495</v>
      </c>
      <c r="O112" s="142"/>
      <c r="P112" s="144">
        <f t="shared" si="60"/>
        <v>8.8313511970219194E-2</v>
      </c>
      <c r="Q112" s="22"/>
    </row>
    <row r="113" spans="2:17" s="20" customFormat="1" ht="14.5" x14ac:dyDescent="0.35">
      <c r="B113" s="103" t="s">
        <v>49</v>
      </c>
      <c r="C113" s="99">
        <v>201.63385052120893</v>
      </c>
      <c r="D113" s="100">
        <v>146.27238969469855</v>
      </c>
      <c r="E113" s="101"/>
      <c r="F113" s="104">
        <f t="shared" si="65"/>
        <v>347.90624021590747</v>
      </c>
      <c r="G113" s="22"/>
      <c r="H113" s="99">
        <v>146.48007111849469</v>
      </c>
      <c r="I113" s="100">
        <v>69.656496156855937</v>
      </c>
      <c r="J113" s="101"/>
      <c r="K113" s="104">
        <f t="shared" si="66"/>
        <v>216.13656727535061</v>
      </c>
      <c r="L113" s="22"/>
      <c r="M113" s="140">
        <f t="shared" si="58"/>
        <v>0.37652753020646568</v>
      </c>
      <c r="N113" s="141">
        <f t="shared" si="59"/>
        <v>1.0999102419007003</v>
      </c>
      <c r="O113" s="142"/>
      <c r="P113" s="144">
        <f t="shared" si="60"/>
        <v>0.60965932142656265</v>
      </c>
      <c r="Q113" s="22"/>
    </row>
    <row r="114" spans="2:17" s="20" customFormat="1" ht="14.5" x14ac:dyDescent="0.35">
      <c r="B114" s="103" t="s">
        <v>50</v>
      </c>
      <c r="C114" s="99">
        <v>94.659481074301127</v>
      </c>
      <c r="D114" s="100">
        <v>278.91370756339222</v>
      </c>
      <c r="E114" s="101"/>
      <c r="F114" s="104">
        <f t="shared" si="65"/>
        <v>373.57318863769336</v>
      </c>
      <c r="G114" s="22"/>
      <c r="H114" s="99">
        <v>143.451616908121</v>
      </c>
      <c r="I114" s="100">
        <v>214.87319749752947</v>
      </c>
      <c r="J114" s="101"/>
      <c r="K114" s="104">
        <f t="shared" si="66"/>
        <v>358.3248144056505</v>
      </c>
      <c r="L114" s="22"/>
      <c r="M114" s="140">
        <f t="shared" si="58"/>
        <v>-0.34012956344068701</v>
      </c>
      <c r="N114" s="141">
        <f t="shared" si="59"/>
        <v>0.298038614455854</v>
      </c>
      <c r="O114" s="142"/>
      <c r="P114" s="144">
        <f t="shared" si="60"/>
        <v>4.2554614190856821E-2</v>
      </c>
      <c r="Q114" s="22"/>
    </row>
    <row r="115" spans="2:17" s="20" customFormat="1" ht="14.5" x14ac:dyDescent="0.35">
      <c r="B115" s="103" t="s">
        <v>51</v>
      </c>
      <c r="C115" s="99">
        <v>83.70522208261383</v>
      </c>
      <c r="D115" s="100">
        <v>5.4204774611773283</v>
      </c>
      <c r="E115" s="101"/>
      <c r="F115" s="104">
        <f t="shared" si="65"/>
        <v>89.125699543791157</v>
      </c>
      <c r="G115" s="22"/>
      <c r="H115" s="99">
        <v>53.930463142694308</v>
      </c>
      <c r="I115" s="100">
        <v>6.4767844527348357</v>
      </c>
      <c r="J115" s="101"/>
      <c r="K115" s="104">
        <f t="shared" si="66"/>
        <v>60.407247595429141</v>
      </c>
      <c r="L115" s="22"/>
      <c r="M115" s="140">
        <f t="shared" si="58"/>
        <v>0.55209536882964749</v>
      </c>
      <c r="N115" s="141">
        <f t="shared" si="59"/>
        <v>-0.16309126840117083</v>
      </c>
      <c r="O115" s="142"/>
      <c r="P115" s="144">
        <f t="shared" si="60"/>
        <v>0.47541401225066027</v>
      </c>
      <c r="Q115" s="22"/>
    </row>
    <row r="116" spans="2:17" s="20" customFormat="1" ht="14.5" x14ac:dyDescent="0.35">
      <c r="B116" s="103" t="s">
        <v>52</v>
      </c>
      <c r="C116" s="99">
        <v>231.69842059241225</v>
      </c>
      <c r="D116" s="100">
        <v>280.60672960644723</v>
      </c>
      <c r="E116" s="101"/>
      <c r="F116" s="104">
        <f t="shared" si="65"/>
        <v>512.30515019885945</v>
      </c>
      <c r="G116" s="22"/>
      <c r="H116" s="99">
        <v>249.51964467865361</v>
      </c>
      <c r="I116" s="100">
        <v>6.9319646521087694</v>
      </c>
      <c r="J116" s="101"/>
      <c r="K116" s="104">
        <f t="shared" si="66"/>
        <v>256.45160933076238</v>
      </c>
      <c r="L116" s="22"/>
      <c r="M116" s="140">
        <f t="shared" si="58"/>
        <v>-7.1422128342610414E-2</v>
      </c>
      <c r="N116" s="141">
        <f t="shared" si="59"/>
        <v>39.480115477952417</v>
      </c>
      <c r="O116" s="142"/>
      <c r="P116" s="144">
        <f t="shared" si="60"/>
        <v>0.99766790910680569</v>
      </c>
      <c r="Q116" s="22"/>
    </row>
    <row r="117" spans="2:17" s="20" customFormat="1" ht="14.5" x14ac:dyDescent="0.35">
      <c r="B117" s="103" t="s">
        <v>53</v>
      </c>
      <c r="C117" s="99">
        <v>10.237504316730414</v>
      </c>
      <c r="D117" s="100">
        <v>0.37154552334576602</v>
      </c>
      <c r="E117" s="101"/>
      <c r="F117" s="104">
        <f t="shared" si="65"/>
        <v>10.60904984007618</v>
      </c>
      <c r="G117" s="22"/>
      <c r="H117" s="99">
        <v>0.68158041116771539</v>
      </c>
      <c r="I117" s="100">
        <v>0.8490819973360122</v>
      </c>
      <c r="J117" s="101"/>
      <c r="K117" s="104">
        <f t="shared" si="66"/>
        <v>1.5306624085037277</v>
      </c>
      <c r="L117" s="22"/>
      <c r="M117" s="145">
        <f t="shared" si="58"/>
        <v>14.020244345331232</v>
      </c>
      <c r="N117" s="146">
        <f t="shared" si="59"/>
        <v>-0.56241502645034624</v>
      </c>
      <c r="O117" s="142"/>
      <c r="P117" s="147">
        <f t="shared" si="60"/>
        <v>5.9310187413871827</v>
      </c>
      <c r="Q117" s="22"/>
    </row>
    <row r="118" spans="2:17" s="20" customFormat="1" ht="14.5" x14ac:dyDescent="0.35">
      <c r="B118" s="103" t="s">
        <v>54</v>
      </c>
      <c r="C118" s="99">
        <v>0.72208253764713093</v>
      </c>
      <c r="D118" s="100">
        <v>1.0486303276937767</v>
      </c>
      <c r="E118" s="101"/>
      <c r="F118" s="104">
        <f t="shared" si="65"/>
        <v>1.7707128653409077</v>
      </c>
      <c r="G118" s="22"/>
      <c r="H118" s="99">
        <v>2.3802672615231915</v>
      </c>
      <c r="I118" s="100">
        <v>0.240166641633798</v>
      </c>
      <c r="J118" s="101"/>
      <c r="K118" s="104">
        <f t="shared" si="66"/>
        <v>2.6204339031569894</v>
      </c>
      <c r="L118" s="22"/>
      <c r="M118" s="145">
        <f t="shared" si="58"/>
        <v>-0.69663804173609789</v>
      </c>
      <c r="N118" s="146">
        <f t="shared" si="59"/>
        <v>3.3662613615287604</v>
      </c>
      <c r="O118" s="142"/>
      <c r="P118" s="147">
        <f t="shared" si="60"/>
        <v>-0.32426730427826223</v>
      </c>
      <c r="Q118" s="22"/>
    </row>
    <row r="119" spans="2:17" s="20" customFormat="1" ht="14.5" x14ac:dyDescent="0.35">
      <c r="B119" s="103" t="s">
        <v>55</v>
      </c>
      <c r="C119" s="99">
        <v>34.216402710933444</v>
      </c>
      <c r="D119" s="100">
        <v>63.93150555412376</v>
      </c>
      <c r="E119" s="101"/>
      <c r="F119" s="104">
        <f t="shared" si="65"/>
        <v>98.147908265057197</v>
      </c>
      <c r="G119" s="22"/>
      <c r="H119" s="99">
        <v>40.664729004374628</v>
      </c>
      <c r="I119" s="100">
        <v>37.762776943198517</v>
      </c>
      <c r="J119" s="101"/>
      <c r="K119" s="104">
        <f t="shared" si="66"/>
        <v>78.427505947573138</v>
      </c>
      <c r="L119" s="22"/>
      <c r="M119" s="145">
        <f t="shared" si="58"/>
        <v>-0.15857295625276357</v>
      </c>
      <c r="N119" s="146">
        <f t="shared" si="59"/>
        <v>0.69297680756601543</v>
      </c>
      <c r="O119" s="142"/>
      <c r="P119" s="147">
        <f t="shared" si="60"/>
        <v>0.25144752570184581</v>
      </c>
      <c r="Q119" s="22"/>
    </row>
    <row r="120" spans="2:17" s="20" customFormat="1" ht="14.5" x14ac:dyDescent="0.35">
      <c r="B120" s="103" t="s">
        <v>56</v>
      </c>
      <c r="C120" s="99">
        <v>0</v>
      </c>
      <c r="D120" s="100">
        <v>0</v>
      </c>
      <c r="E120" s="101"/>
      <c r="F120" s="104">
        <f t="shared" si="65"/>
        <v>0</v>
      </c>
      <c r="G120" s="22"/>
      <c r="H120" s="99">
        <v>6.3765502925240025E-2</v>
      </c>
      <c r="I120" s="100">
        <v>0</v>
      </c>
      <c r="J120" s="101"/>
      <c r="K120" s="104">
        <f t="shared" si="66"/>
        <v>6.3765502925240025E-2</v>
      </c>
      <c r="L120" s="22"/>
      <c r="M120" s="145">
        <f t="shared" si="58"/>
        <v>-1</v>
      </c>
      <c r="N120" s="146" t="str">
        <f t="shared" si="59"/>
        <v/>
      </c>
      <c r="O120" s="142"/>
      <c r="P120" s="147">
        <f t="shared" si="60"/>
        <v>-1</v>
      </c>
      <c r="Q120" s="22"/>
    </row>
    <row r="121" spans="2:17" s="20" customFormat="1" ht="14.5" x14ac:dyDescent="0.35">
      <c r="B121" s="103" t="s">
        <v>57</v>
      </c>
      <c r="C121" s="99">
        <v>1.5544178612166788</v>
      </c>
      <c r="D121" s="100">
        <v>0.20132079931637048</v>
      </c>
      <c r="E121" s="101"/>
      <c r="F121" s="104">
        <f t="shared" si="65"/>
        <v>1.7557386605330492</v>
      </c>
      <c r="G121" s="22"/>
      <c r="H121" s="99">
        <v>5.6012906648888361</v>
      </c>
      <c r="I121" s="100">
        <v>3.4390587373397509E-3</v>
      </c>
      <c r="J121" s="101"/>
      <c r="K121" s="104">
        <f t="shared" si="66"/>
        <v>5.6047297236261757</v>
      </c>
      <c r="L121" s="22"/>
      <c r="M121" s="145">
        <f t="shared" si="58"/>
        <v>-0.72248934143689403</v>
      </c>
      <c r="N121" s="146">
        <f t="shared" si="59"/>
        <v>57.539505920768349</v>
      </c>
      <c r="O121" s="142"/>
      <c r="P121" s="147">
        <f t="shared" si="60"/>
        <v>-0.68673981670660966</v>
      </c>
      <c r="Q121" s="22"/>
    </row>
    <row r="122" spans="2:17" s="20" customFormat="1" ht="15" thickBot="1" x14ac:dyDescent="0.4">
      <c r="B122" s="105" t="s">
        <v>13</v>
      </c>
      <c r="C122" s="99">
        <v>1274.948262097005</v>
      </c>
      <c r="D122" s="99">
        <v>273.57839445864136</v>
      </c>
      <c r="E122" s="101"/>
      <c r="F122" s="104">
        <f t="shared" si="65"/>
        <v>1548.5266565556462</v>
      </c>
      <c r="G122" s="22"/>
      <c r="H122" s="99">
        <v>1172.6473979435023</v>
      </c>
      <c r="I122" s="99">
        <v>192.73725037914488</v>
      </c>
      <c r="J122" s="101"/>
      <c r="K122" s="104">
        <f t="shared" si="66"/>
        <v>1365.3846483226471</v>
      </c>
      <c r="L122" s="22"/>
      <c r="M122" s="140">
        <f t="shared" si="58"/>
        <v>8.7239236903531303E-2</v>
      </c>
      <c r="N122" s="140">
        <f t="shared" si="59"/>
        <v>0.41943705184373581</v>
      </c>
      <c r="O122" s="142"/>
      <c r="P122" s="144">
        <f t="shared" si="60"/>
        <v>0.13413217180813208</v>
      </c>
      <c r="Q122" s="22"/>
    </row>
    <row r="123" spans="2:17" s="20" customFormat="1" ht="15" thickBot="1" x14ac:dyDescent="0.4">
      <c r="B123" s="73" t="s">
        <v>7</v>
      </c>
      <c r="C123" s="106">
        <f>N49</f>
        <v>260.96089870165872</v>
      </c>
      <c r="D123" s="97">
        <f>N76</f>
        <v>121.64325150637102</v>
      </c>
      <c r="E123" s="76"/>
      <c r="F123" s="77">
        <f>SUM(F124:F126)</f>
        <v>382.60415020802975</v>
      </c>
      <c r="G123" s="22"/>
      <c r="H123" s="106">
        <f>M49</f>
        <v>225.58193473798104</v>
      </c>
      <c r="I123" s="97">
        <f>M76</f>
        <v>65.825975548601861</v>
      </c>
      <c r="J123" s="76"/>
      <c r="K123" s="77">
        <f>SUM(K124:K126)</f>
        <v>291.40791028658293</v>
      </c>
      <c r="L123" s="22"/>
      <c r="M123" s="148">
        <f t="shared" si="58"/>
        <v>0.15683420751210075</v>
      </c>
      <c r="N123" s="139">
        <f t="shared" si="59"/>
        <v>0.84795212668830255</v>
      </c>
      <c r="O123" s="123"/>
      <c r="P123" s="124">
        <f t="shared" si="60"/>
        <v>0.31295046119976822</v>
      </c>
      <c r="Q123" s="22"/>
    </row>
    <row r="124" spans="2:17" s="20" customFormat="1" ht="14.5" x14ac:dyDescent="0.35">
      <c r="B124" s="98" t="s">
        <v>58</v>
      </c>
      <c r="C124" s="107">
        <v>221.02332771347895</v>
      </c>
      <c r="D124" s="108">
        <v>88.562209307996028</v>
      </c>
      <c r="E124" s="101"/>
      <c r="F124" s="104">
        <f t="shared" ref="F124:F131" si="67">C124+D124</f>
        <v>309.58553702147498</v>
      </c>
      <c r="G124" s="22"/>
      <c r="H124" s="107">
        <v>180.28744158448899</v>
      </c>
      <c r="I124" s="108">
        <v>58.082359313372159</v>
      </c>
      <c r="J124" s="101"/>
      <c r="K124" s="104">
        <f t="shared" ref="K124:K126" si="68">H124+I124</f>
        <v>238.36980089786115</v>
      </c>
      <c r="L124" s="22"/>
      <c r="M124" s="149">
        <f t="shared" si="58"/>
        <v>0.22594966000390948</v>
      </c>
      <c r="N124" s="150">
        <f t="shared" si="59"/>
        <v>0.52476948861832073</v>
      </c>
      <c r="O124" s="142"/>
      <c r="P124" s="144">
        <f t="shared" si="60"/>
        <v>0.29876157069967513</v>
      </c>
      <c r="Q124" s="22"/>
    </row>
    <row r="125" spans="2:17" s="20" customFormat="1" ht="14.5" x14ac:dyDescent="0.35">
      <c r="B125" s="103" t="s">
        <v>59</v>
      </c>
      <c r="C125" s="107">
        <v>12.442554091279602</v>
      </c>
      <c r="D125" s="108">
        <v>31.77315753376768</v>
      </c>
      <c r="E125" s="101"/>
      <c r="F125" s="104">
        <f t="shared" si="67"/>
        <v>44.215711625047284</v>
      </c>
      <c r="G125" s="22"/>
      <c r="H125" s="107">
        <v>16.729339992648057</v>
      </c>
      <c r="I125" s="108">
        <v>6.7128609273883342</v>
      </c>
      <c r="J125" s="101"/>
      <c r="K125" s="104">
        <f t="shared" si="68"/>
        <v>23.442200920036392</v>
      </c>
      <c r="L125" s="22"/>
      <c r="M125" s="149">
        <f t="shared" si="58"/>
        <v>-0.2562435758525049</v>
      </c>
      <c r="N125" s="150">
        <f t="shared" si="59"/>
        <v>3.7331767896656185</v>
      </c>
      <c r="O125" s="142"/>
      <c r="P125" s="144">
        <f t="shared" si="60"/>
        <v>0.88615871759956932</v>
      </c>
      <c r="Q125" s="22"/>
    </row>
    <row r="126" spans="2:17" s="20" customFormat="1" ht="15" thickBot="1" x14ac:dyDescent="0.4">
      <c r="B126" s="105" t="s">
        <v>60</v>
      </c>
      <c r="C126" s="107">
        <v>27.495016896900196</v>
      </c>
      <c r="D126" s="108">
        <v>1.3078846646073206</v>
      </c>
      <c r="E126" s="101"/>
      <c r="F126" s="104">
        <f t="shared" si="67"/>
        <v>28.802901561507518</v>
      </c>
      <c r="G126" s="22"/>
      <c r="H126" s="107">
        <v>28.565153160844002</v>
      </c>
      <c r="I126" s="108">
        <v>1.0307553078413638</v>
      </c>
      <c r="J126" s="101"/>
      <c r="K126" s="104">
        <f t="shared" si="68"/>
        <v>29.595908468685366</v>
      </c>
      <c r="L126" s="22"/>
      <c r="M126" s="149">
        <f t="shared" si="58"/>
        <v>-3.7462997587238811E-2</v>
      </c>
      <c r="N126" s="150">
        <f t="shared" si="59"/>
        <v>0.26886047023743065</v>
      </c>
      <c r="O126" s="142"/>
      <c r="P126" s="144">
        <f t="shared" si="60"/>
        <v>-2.6794477622368196E-2</v>
      </c>
      <c r="Q126" s="22"/>
    </row>
    <row r="127" spans="2:17" s="20" customFormat="1" ht="15" thickBot="1" x14ac:dyDescent="0.4">
      <c r="B127" s="73" t="s">
        <v>61</v>
      </c>
      <c r="C127" s="106">
        <f>N50</f>
        <v>209.52571707383922</v>
      </c>
      <c r="D127" s="109">
        <f>N77</f>
        <v>72.92480397325842</v>
      </c>
      <c r="E127" s="110"/>
      <c r="F127" s="111">
        <f>SUM(F128:F130)</f>
        <v>282.45052104709765</v>
      </c>
      <c r="G127" s="22"/>
      <c r="H127" s="106">
        <f>M50</f>
        <v>263.87137691723223</v>
      </c>
      <c r="I127" s="109">
        <f>M77</f>
        <v>24.421165098273885</v>
      </c>
      <c r="J127" s="110"/>
      <c r="K127" s="111">
        <f>SUM(K128:K130)</f>
        <v>288.29254201550611</v>
      </c>
      <c r="L127" s="22"/>
      <c r="M127" s="148">
        <f t="shared" si="58"/>
        <v>-0.20595511524707533</v>
      </c>
      <c r="N127" s="151">
        <f t="shared" si="59"/>
        <v>1.9861312382025877</v>
      </c>
      <c r="O127" s="152"/>
      <c r="P127" s="153">
        <f t="shared" si="60"/>
        <v>-2.026421123337363E-2</v>
      </c>
      <c r="Q127" s="22"/>
    </row>
    <row r="128" spans="2:17" s="20" customFormat="1" ht="14.5" x14ac:dyDescent="0.35">
      <c r="B128" s="98" t="s">
        <v>62</v>
      </c>
      <c r="C128" s="107">
        <v>79.687819593633648</v>
      </c>
      <c r="D128" s="108">
        <v>2.0887269698086425E-2</v>
      </c>
      <c r="E128" s="101"/>
      <c r="F128" s="104">
        <f t="shared" si="67"/>
        <v>79.708706863331741</v>
      </c>
      <c r="G128" s="22"/>
      <c r="H128" s="107">
        <v>41.583568213646799</v>
      </c>
      <c r="I128" s="108">
        <v>6.6058699070599816E-2</v>
      </c>
      <c r="J128" s="101"/>
      <c r="K128" s="104">
        <f t="shared" ref="K128:K131" si="69">H128+I128</f>
        <v>41.649626912717402</v>
      </c>
      <c r="L128" s="22"/>
      <c r="M128" s="149">
        <f t="shared" si="58"/>
        <v>0.91632952670670242</v>
      </c>
      <c r="N128" s="150">
        <f t="shared" si="59"/>
        <v>-0.68380743199675664</v>
      </c>
      <c r="O128" s="142"/>
      <c r="P128" s="144">
        <f t="shared" si="60"/>
        <v>0.91379161763855521</v>
      </c>
      <c r="Q128" s="22"/>
    </row>
    <row r="129" spans="2:17" s="20" customFormat="1" ht="14.5" x14ac:dyDescent="0.35">
      <c r="B129" s="103" t="s">
        <v>63</v>
      </c>
      <c r="C129" s="107">
        <v>63.999014281619772</v>
      </c>
      <c r="D129" s="108">
        <v>12.188316890415424</v>
      </c>
      <c r="E129" s="101"/>
      <c r="F129" s="104">
        <f t="shared" si="67"/>
        <v>76.187331172035201</v>
      </c>
      <c r="G129" s="22"/>
      <c r="H129" s="107">
        <v>61.938786316241803</v>
      </c>
      <c r="I129" s="108">
        <v>8.6998939321130067</v>
      </c>
      <c r="J129" s="101"/>
      <c r="K129" s="104">
        <f t="shared" si="69"/>
        <v>70.638680248354802</v>
      </c>
      <c r="L129" s="22"/>
      <c r="M129" s="149">
        <f t="shared" si="58"/>
        <v>3.3262323786246606E-2</v>
      </c>
      <c r="N129" s="150">
        <f t="shared" si="59"/>
        <v>0.40097304467425365</v>
      </c>
      <c r="O129" s="142"/>
      <c r="P129" s="144">
        <f t="shared" si="60"/>
        <v>7.8549753536903522E-2</v>
      </c>
      <c r="Q129" s="22"/>
    </row>
    <row r="130" spans="2:17" s="20" customFormat="1" ht="15" thickBot="1" x14ac:dyDescent="0.4">
      <c r="B130" s="105" t="s">
        <v>64</v>
      </c>
      <c r="C130" s="107">
        <v>65.838883198585819</v>
      </c>
      <c r="D130" s="108">
        <v>60.715599813144919</v>
      </c>
      <c r="E130" s="101"/>
      <c r="F130" s="104">
        <f t="shared" si="67"/>
        <v>126.55448301173074</v>
      </c>
      <c r="G130" s="22"/>
      <c r="H130" s="107">
        <v>160.34902238734361</v>
      </c>
      <c r="I130" s="108">
        <v>15.655212467090282</v>
      </c>
      <c r="J130" s="101"/>
      <c r="K130" s="104">
        <f t="shared" si="69"/>
        <v>176.00423485443389</v>
      </c>
      <c r="L130" s="22"/>
      <c r="M130" s="149">
        <f t="shared" si="58"/>
        <v>-0.58940265292329896</v>
      </c>
      <c r="N130" s="150">
        <f t="shared" si="59"/>
        <v>2.8782993166511575</v>
      </c>
      <c r="O130" s="142"/>
      <c r="P130" s="144">
        <f t="shared" si="60"/>
        <v>-0.28095773879305275</v>
      </c>
      <c r="Q130" s="22"/>
    </row>
    <row r="131" spans="2:17" s="20" customFormat="1" ht="15" thickBot="1" x14ac:dyDescent="0.4">
      <c r="B131" s="73" t="s">
        <v>65</v>
      </c>
      <c r="C131" s="106">
        <f>N51</f>
        <v>73.825733198126187</v>
      </c>
      <c r="D131" s="109">
        <f>N78</f>
        <v>18.509035572073483</v>
      </c>
      <c r="E131" s="110"/>
      <c r="F131" s="111">
        <f t="shared" si="67"/>
        <v>92.334768770199673</v>
      </c>
      <c r="G131" s="22"/>
      <c r="H131" s="106">
        <f>M51</f>
        <v>101.48344686247539</v>
      </c>
      <c r="I131" s="109">
        <f>M78</f>
        <v>12.838593980787779</v>
      </c>
      <c r="J131" s="110"/>
      <c r="K131" s="111">
        <f t="shared" si="69"/>
        <v>114.32204084326317</v>
      </c>
      <c r="L131" s="22"/>
      <c r="M131" s="148">
        <f t="shared" si="58"/>
        <v>-0.27253423606935001</v>
      </c>
      <c r="N131" s="151">
        <f t="shared" si="59"/>
        <v>0.4416715412740051</v>
      </c>
      <c r="O131" s="152"/>
      <c r="P131" s="153">
        <f t="shared" si="60"/>
        <v>-0.19232749792499149</v>
      </c>
      <c r="Q131" s="22"/>
    </row>
    <row r="132" spans="2:17" s="20" customFormat="1" ht="15" thickBot="1" x14ac:dyDescent="0.4">
      <c r="B132" s="73" t="s">
        <v>66</v>
      </c>
      <c r="C132" s="106">
        <f>C98+C107+C123+C127+C131</f>
        <v>24594.788855936589</v>
      </c>
      <c r="D132" s="106">
        <f>D98+D107+D123+D127+D131</f>
        <v>4597.9925483735633</v>
      </c>
      <c r="E132" s="110"/>
      <c r="F132" s="111">
        <f>SUM(F131,F127,F123,F107,F98)</f>
        <v>29192.78140431015</v>
      </c>
      <c r="G132" s="22"/>
      <c r="H132" s="106">
        <f>H98+H107+H123+H127+H131</f>
        <v>22682.751615544039</v>
      </c>
      <c r="I132" s="106">
        <f>I98+I107+I123+I127+I131</f>
        <v>3551.1141742096124</v>
      </c>
      <c r="J132" s="110"/>
      <c r="K132" s="111">
        <f>SUM(K131,K127,K123,K107,K98)</f>
        <v>26233.865789753654</v>
      </c>
      <c r="L132" s="22"/>
      <c r="M132" s="148">
        <f t="shared" si="58"/>
        <v>8.4294766031924873E-2</v>
      </c>
      <c r="N132" s="151">
        <f t="shared" si="59"/>
        <v>0.29480279225236661</v>
      </c>
      <c r="O132" s="152"/>
      <c r="P132" s="153">
        <f t="shared" si="60"/>
        <v>0.11278991965081175</v>
      </c>
      <c r="Q132" s="22"/>
    </row>
    <row r="133" spans="2:17" s="20" customFormat="1" ht="15" thickBot="1" x14ac:dyDescent="0.4">
      <c r="B133" s="73" t="s">
        <v>67</v>
      </c>
      <c r="C133" s="106">
        <f>N55</f>
        <v>8.35</v>
      </c>
      <c r="D133" s="109">
        <f>N82</f>
        <v>2.430179248059817</v>
      </c>
      <c r="E133" s="110"/>
      <c r="F133" s="111">
        <f>N27</f>
        <v>10.780179248059817</v>
      </c>
      <c r="G133" s="22"/>
      <c r="H133" s="106">
        <f>M55</f>
        <v>118.40734862222222</v>
      </c>
      <c r="I133" s="109">
        <f>M82</f>
        <v>14.094729766538167</v>
      </c>
      <c r="J133" s="110"/>
      <c r="K133" s="111">
        <f>M27</f>
        <v>132.5020783887604</v>
      </c>
      <c r="L133" s="22"/>
      <c r="M133" s="148">
        <f t="shared" si="58"/>
        <v>-0.9294807282051335</v>
      </c>
      <c r="N133" s="151">
        <f t="shared" si="59"/>
        <v>-0.82758241638451091</v>
      </c>
      <c r="O133" s="152"/>
      <c r="P133" s="153">
        <f t="shared" si="60"/>
        <v>-0.91864143280507027</v>
      </c>
      <c r="Q133" s="22"/>
    </row>
    <row r="134" spans="2:17" s="20" customFormat="1" ht="14.5" x14ac:dyDescent="0.35">
      <c r="B134" s="98" t="s">
        <v>68</v>
      </c>
      <c r="C134" s="112"/>
      <c r="D134" s="113"/>
      <c r="E134" s="101"/>
      <c r="F134" s="102">
        <v>0</v>
      </c>
      <c r="G134" s="22"/>
      <c r="H134" s="112"/>
      <c r="I134" s="113"/>
      <c r="J134" s="101"/>
      <c r="K134" s="102">
        <v>12.976014828342596</v>
      </c>
      <c r="L134" s="22"/>
      <c r="M134" s="154" t="str">
        <f t="shared" si="58"/>
        <v/>
      </c>
      <c r="N134" s="155" t="str">
        <f t="shared" si="59"/>
        <v/>
      </c>
      <c r="O134" s="142"/>
      <c r="P134" s="143">
        <f t="shared" si="60"/>
        <v>-1</v>
      </c>
      <c r="Q134" s="22"/>
    </row>
    <row r="135" spans="2:17" s="20" customFormat="1" ht="14.5" x14ac:dyDescent="0.35">
      <c r="B135" s="103" t="s">
        <v>69</v>
      </c>
      <c r="C135" s="114"/>
      <c r="D135" s="115"/>
      <c r="E135" s="116"/>
      <c r="F135" s="102">
        <v>0.96252993954765331</v>
      </c>
      <c r="G135" s="22"/>
      <c r="H135" s="114"/>
      <c r="I135" s="115"/>
      <c r="J135" s="116"/>
      <c r="K135" s="102">
        <v>99.115571723741496</v>
      </c>
      <c r="L135" s="22"/>
      <c r="M135" s="156" t="str">
        <f t="shared" si="58"/>
        <v/>
      </c>
      <c r="N135" s="157" t="str">
        <f t="shared" si="59"/>
        <v/>
      </c>
      <c r="O135" s="158"/>
      <c r="P135" s="143">
        <f t="shared" si="60"/>
        <v>-0.99028881211288922</v>
      </c>
      <c r="Q135" s="22"/>
    </row>
    <row r="136" spans="2:17" s="20" customFormat="1" ht="14.5" x14ac:dyDescent="0.35">
      <c r="B136" s="103" t="s">
        <v>70</v>
      </c>
      <c r="C136" s="114"/>
      <c r="D136" s="115"/>
      <c r="E136" s="116"/>
      <c r="F136" s="102">
        <v>0</v>
      </c>
      <c r="G136" s="22"/>
      <c r="H136" s="114"/>
      <c r="I136" s="115"/>
      <c r="J136" s="116"/>
      <c r="K136" s="102">
        <v>2.24421783233876</v>
      </c>
      <c r="L136" s="22"/>
      <c r="M136" s="156" t="str">
        <f t="shared" si="58"/>
        <v/>
      </c>
      <c r="N136" s="157" t="str">
        <f t="shared" si="59"/>
        <v/>
      </c>
      <c r="O136" s="158"/>
      <c r="P136" s="143">
        <f t="shared" si="60"/>
        <v>-1</v>
      </c>
      <c r="Q136" s="22"/>
    </row>
    <row r="137" spans="2:17" s="20" customFormat="1" ht="14.5" x14ac:dyDescent="0.35">
      <c r="B137" s="103" t="s">
        <v>71</v>
      </c>
      <c r="C137" s="114"/>
      <c r="D137" s="115"/>
      <c r="E137" s="116"/>
      <c r="F137" s="102">
        <v>0.68029754113501983</v>
      </c>
      <c r="G137" s="22"/>
      <c r="H137" s="114"/>
      <c r="I137" s="115"/>
      <c r="J137" s="116"/>
      <c r="K137" s="102">
        <v>0</v>
      </c>
      <c r="L137" s="22"/>
      <c r="M137" s="156" t="str">
        <f t="shared" si="58"/>
        <v/>
      </c>
      <c r="N137" s="157" t="str">
        <f t="shared" si="59"/>
        <v/>
      </c>
      <c r="O137" s="158"/>
      <c r="P137" s="143" t="str">
        <f t="shared" si="60"/>
        <v/>
      </c>
      <c r="Q137" s="22"/>
    </row>
    <row r="138" spans="2:17" s="20" customFormat="1" ht="15" thickBot="1" x14ac:dyDescent="0.4">
      <c r="B138" s="103" t="s">
        <v>12</v>
      </c>
      <c r="C138" s="114"/>
      <c r="D138" s="115"/>
      <c r="E138" s="116"/>
      <c r="F138" s="102">
        <v>9.1373517673771456</v>
      </c>
      <c r="G138" s="22"/>
      <c r="H138" s="114"/>
      <c r="I138" s="115"/>
      <c r="J138" s="116"/>
      <c r="K138" s="102">
        <v>18.166274004337556</v>
      </c>
      <c r="L138" s="22"/>
      <c r="M138" s="156" t="str">
        <f t="shared" si="58"/>
        <v/>
      </c>
      <c r="N138" s="157" t="str">
        <f t="shared" si="59"/>
        <v/>
      </c>
      <c r="O138" s="158"/>
      <c r="P138" s="143">
        <f t="shared" si="60"/>
        <v>-0.49701563649235814</v>
      </c>
      <c r="Q138" s="22"/>
    </row>
    <row r="139" spans="2:17" s="20" customFormat="1" ht="15" thickBot="1" x14ac:dyDescent="0.4">
      <c r="B139" s="73" t="s">
        <v>72</v>
      </c>
      <c r="C139" s="106">
        <f>C132+C133</f>
        <v>24603.138855936588</v>
      </c>
      <c r="D139" s="106">
        <f>D132+D133</f>
        <v>4600.4227276216234</v>
      </c>
      <c r="E139" s="110"/>
      <c r="F139" s="111">
        <f>F133+F132</f>
        <v>29203.56158355821</v>
      </c>
      <c r="G139" s="22"/>
      <c r="H139" s="106">
        <f>H132+H133</f>
        <v>22801.158964166261</v>
      </c>
      <c r="I139" s="106">
        <f>I132+I133</f>
        <v>3565.2089039761504</v>
      </c>
      <c r="J139" s="110"/>
      <c r="K139" s="106">
        <f>K132+K133</f>
        <v>26366.367868142413</v>
      </c>
      <c r="L139" s="22"/>
      <c r="M139" s="148">
        <f t="shared" si="58"/>
        <v>7.9030188535691215E-2</v>
      </c>
      <c r="N139" s="151">
        <f t="shared" si="59"/>
        <v>0.29036554421563787</v>
      </c>
      <c r="O139" s="152"/>
      <c r="P139" s="153">
        <f t="shared" si="60"/>
        <v>0.10760654366974376</v>
      </c>
      <c r="Q139" s="22"/>
    </row>
    <row r="140" spans="2:17" x14ac:dyDescent="0.25">
      <c r="F140" s="161"/>
      <c r="G140" s="162"/>
      <c r="H140" s="162"/>
      <c r="I140" s="162"/>
      <c r="J140" s="162"/>
      <c r="K140" s="161"/>
      <c r="L140" s="162"/>
      <c r="M140" s="162"/>
      <c r="N140" s="162"/>
    </row>
    <row r="141" spans="2:17" x14ac:dyDescent="0.25">
      <c r="C141" s="162"/>
      <c r="D141" s="162"/>
      <c r="F141" s="162"/>
      <c r="G141" s="162"/>
      <c r="H141" s="162"/>
      <c r="I141" s="162"/>
      <c r="J141" s="162"/>
      <c r="K141" s="162"/>
      <c r="L141" s="162"/>
      <c r="M141" s="162"/>
      <c r="N141" s="162"/>
    </row>
    <row r="142" spans="2:17" x14ac:dyDescent="0.25">
      <c r="F142" s="160"/>
      <c r="K142" s="160"/>
    </row>
  </sheetData>
  <mergeCells count="12">
    <mergeCell ref="C94:F94"/>
    <mergeCell ref="H94:K94"/>
    <mergeCell ref="M94:P94"/>
    <mergeCell ref="C33:F33"/>
    <mergeCell ref="C61:F61"/>
    <mergeCell ref="C5:F5"/>
    <mergeCell ref="M33:P33"/>
    <mergeCell ref="M61:P61"/>
    <mergeCell ref="M5:P5"/>
    <mergeCell ref="H5:K5"/>
    <mergeCell ref="H33:K33"/>
    <mergeCell ref="H61:K61"/>
  </mergeCells>
  <pageMargins left="0.43" right="0.43" top="0.39" bottom="0.51181102362204722" header="0.51181102362204722" footer="0.51181102362204722"/>
  <pageSetup paperSize="9" scale="45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705973B3-4E71-46E8-862A-D806DF7B8B8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summary_03 2026</vt:lpstr>
      <vt:lpstr>szacunek rynku_03 2026</vt:lpstr>
      <vt:lpstr>'szacunek rynku_03 2026'!Obszar_wydruku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Katarzyna Ostrowska</cp:lastModifiedBy>
  <cp:lastPrinted>2025-10-27T18:10:40Z</cp:lastPrinted>
  <dcterms:created xsi:type="dcterms:W3CDTF">2025-01-15T14:40:47Z</dcterms:created>
  <dcterms:modified xsi:type="dcterms:W3CDTF">2026-04-27T11:40:10Z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b53c95fd-2625-498d-a976-5594b020bec1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  <property fmtid="{D5CDD505-2E9C-101B-9397-08002B2CF9AE}" pid="8" name="bjpmDocIH">
    <vt:lpwstr>nDinZHq97eGifm0GHPEfvaPXhYSfxCWp</vt:lpwstr>
  </property>
</Properties>
</file>